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erimikelala/Desktop/Reporting Package/Signify Health Reporting Package/"/>
    </mc:Choice>
  </mc:AlternateContent>
  <xr:revisionPtr revIDLastSave="0" documentId="13_ncr:1_{0327AD22-7DF1-1047-922A-DF7269B60D5C}" xr6:coauthVersionLast="47" xr6:coauthVersionMax="47" xr10:uidLastSave="{00000000-0000-0000-0000-000000000000}"/>
  <bookViews>
    <workbookView xWindow="0" yWindow="500" windowWidth="28800" windowHeight="16180" xr2:uid="{00000000-000D-0000-FFFF-FFFF00000000}"/>
  </bookViews>
  <sheets>
    <sheet name="SPEND SUMMARY" sheetId="1" r:id="rId1"/>
    <sheet name="Certificate List" sheetId="2" r:id="rId2"/>
    <sheet name="Vendor Master Enrich" sheetId="3" r:id="rId3"/>
    <sheet name="Insight-1" sheetId="4" r:id="rId4"/>
    <sheet name="Aggregate" sheetId="5" r:id="rId5"/>
    <sheet name="Insight-2" sheetId="6" r:id="rId6"/>
    <sheet name="Sum of Moving Average" sheetId="11" r:id="rId7"/>
    <sheet name="VM SUMMARY" sheetId="13" r:id="rId8"/>
  </sheets>
  <externalReferences>
    <externalReference r:id="rId9"/>
  </externalReferences>
  <definedNames>
    <definedName name="_xlnm._FilterDatabase" localSheetId="2" hidden="1">'Vendor Master Enrich'!$A$2:$AT$2</definedName>
    <definedName name="_xlnm.Print_Area" localSheetId="0">'SPEND SUMMARY'!$A$1:$M$36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1" l="1"/>
  <c r="E38" i="1"/>
  <c r="G38" i="1"/>
  <c r="I38" i="1"/>
  <c r="K38" i="1" s="1"/>
  <c r="C20" i="1"/>
  <c r="I20" i="1"/>
  <c r="G20" i="1"/>
  <c r="E20" i="1"/>
  <c r="I73" i="1"/>
  <c r="I72" i="1"/>
  <c r="I71" i="1"/>
  <c r="I70" i="1"/>
  <c r="I69" i="1"/>
  <c r="I68" i="1"/>
  <c r="I67" i="1"/>
  <c r="I66" i="1"/>
  <c r="I65" i="1"/>
  <c r="I64" i="1"/>
  <c r="I63" i="1"/>
  <c r="I62" i="1"/>
  <c r="G68" i="1"/>
  <c r="G73" i="1"/>
  <c r="G72" i="1"/>
  <c r="G71" i="1"/>
  <c r="G70" i="1"/>
  <c r="G69" i="1"/>
  <c r="G67" i="1"/>
  <c r="G66" i="1"/>
  <c r="G65" i="1"/>
  <c r="G64" i="1"/>
  <c r="G63" i="1"/>
  <c r="G62" i="1"/>
  <c r="E73" i="1"/>
  <c r="E72" i="1"/>
  <c r="E71" i="1"/>
  <c r="E70" i="1"/>
  <c r="E69" i="1"/>
  <c r="E67" i="1"/>
  <c r="E68" i="1"/>
  <c r="E66" i="1"/>
  <c r="E65" i="1"/>
  <c r="E64" i="1"/>
  <c r="E63" i="1"/>
  <c r="E62" i="1"/>
  <c r="C73" i="1"/>
  <c r="C72" i="1"/>
  <c r="C71" i="1"/>
  <c r="C70" i="1"/>
  <c r="C69" i="1"/>
  <c r="C68" i="1"/>
  <c r="C67" i="1"/>
  <c r="C66" i="1"/>
  <c r="C65" i="1"/>
  <c r="C64" i="1"/>
  <c r="C63" i="1"/>
  <c r="C62" i="1"/>
  <c r="I58" i="1"/>
  <c r="I57" i="1"/>
  <c r="I56" i="1"/>
  <c r="I55" i="1"/>
  <c r="I54" i="1"/>
  <c r="I53" i="1"/>
  <c r="I52" i="1"/>
  <c r="I51" i="1"/>
  <c r="I50" i="1"/>
  <c r="I49" i="1"/>
  <c r="I48" i="1"/>
  <c r="I47" i="1"/>
  <c r="I46" i="1"/>
  <c r="I45" i="1"/>
  <c r="I44" i="1"/>
  <c r="G58" i="1"/>
  <c r="G57" i="1"/>
  <c r="G56" i="1"/>
  <c r="G55" i="1"/>
  <c r="G54" i="1"/>
  <c r="G53" i="1"/>
  <c r="G52" i="1"/>
  <c r="G51" i="1"/>
  <c r="G50" i="1"/>
  <c r="G49" i="1"/>
  <c r="G48" i="1"/>
  <c r="G47" i="1"/>
  <c r="G46" i="1"/>
  <c r="G45" i="1"/>
  <c r="G44" i="1"/>
  <c r="E58" i="1"/>
  <c r="E57" i="1"/>
  <c r="E56" i="1"/>
  <c r="E55" i="1"/>
  <c r="E54" i="1"/>
  <c r="E53" i="1"/>
  <c r="E52" i="1"/>
  <c r="E51" i="1"/>
  <c r="E50" i="1"/>
  <c r="E49" i="1"/>
  <c r="E48" i="1"/>
  <c r="E47" i="1"/>
  <c r="E46" i="1"/>
  <c r="E45" i="1"/>
  <c r="E44" i="1"/>
  <c r="C58" i="1"/>
  <c r="C57" i="1"/>
  <c r="C56" i="1"/>
  <c r="C55" i="1"/>
  <c r="C54" i="1"/>
  <c r="C53" i="1"/>
  <c r="C52" i="1"/>
  <c r="C51" i="1"/>
  <c r="C50" i="1"/>
  <c r="C49" i="1"/>
  <c r="C48" i="1"/>
  <c r="C47" i="1"/>
  <c r="C46" i="1"/>
  <c r="C45" i="1"/>
  <c r="C44" i="1"/>
  <c r="I40" i="1"/>
  <c r="I39" i="1"/>
  <c r="I37" i="1"/>
  <c r="I36" i="1"/>
  <c r="I35" i="1"/>
  <c r="I34" i="1"/>
  <c r="I33" i="1"/>
  <c r="I32" i="1"/>
  <c r="I31" i="1"/>
  <c r="I30" i="1"/>
  <c r="I29" i="1"/>
  <c r="I28" i="1"/>
  <c r="I27" i="1"/>
  <c r="I26" i="1"/>
  <c r="I25" i="1"/>
  <c r="G40" i="1"/>
  <c r="G39" i="1"/>
  <c r="G37" i="1"/>
  <c r="G36" i="1"/>
  <c r="G35" i="1"/>
  <c r="G34" i="1"/>
  <c r="G33" i="1"/>
  <c r="G32" i="1"/>
  <c r="G31" i="1"/>
  <c r="G30" i="1"/>
  <c r="G29" i="1"/>
  <c r="G28" i="1"/>
  <c r="G27" i="1"/>
  <c r="G26" i="1"/>
  <c r="G25" i="1"/>
  <c r="E40" i="1"/>
  <c r="E39" i="1"/>
  <c r="E37" i="1"/>
  <c r="E36" i="1"/>
  <c r="E35" i="1"/>
  <c r="E34" i="1"/>
  <c r="E33" i="1"/>
  <c r="E32" i="1"/>
  <c r="E31" i="1"/>
  <c r="E30" i="1"/>
  <c r="E29" i="1"/>
  <c r="E28" i="1"/>
  <c r="E27" i="1"/>
  <c r="E26" i="1"/>
  <c r="E25" i="1"/>
  <c r="C40" i="1"/>
  <c r="C39" i="1"/>
  <c r="C37" i="1"/>
  <c r="C36" i="1"/>
  <c r="C35" i="1"/>
  <c r="C34" i="1"/>
  <c r="C33" i="1"/>
  <c r="C32" i="1"/>
  <c r="C31" i="1"/>
  <c r="C30" i="1"/>
  <c r="C29" i="1"/>
  <c r="C28" i="1"/>
  <c r="C27" i="1"/>
  <c r="C26" i="1"/>
  <c r="C25" i="1"/>
  <c r="I16" i="1"/>
  <c r="G16" i="1"/>
  <c r="E16" i="1"/>
  <c r="C16" i="1" l="1"/>
  <c r="D6" i="4"/>
  <c r="G8" i="4"/>
  <c r="E7" i="4"/>
  <c r="B3" i="6" l="1"/>
  <c r="B4" i="6"/>
  <c r="B5" i="6"/>
  <c r="B6" i="6"/>
  <c r="B7" i="6"/>
  <c r="B8" i="6"/>
  <c r="B9" i="6"/>
  <c r="B10" i="6"/>
  <c r="B11" i="6"/>
  <c r="B12" i="6"/>
  <c r="B13" i="6"/>
  <c r="B14" i="6"/>
  <c r="B15" i="6"/>
  <c r="B16" i="6"/>
  <c r="B2" i="6"/>
  <c r="D3" i="6"/>
  <c r="D4" i="6"/>
  <c r="D5" i="6"/>
  <c r="D6" i="6"/>
  <c r="D7" i="6"/>
  <c r="D8" i="6"/>
  <c r="D9" i="6"/>
  <c r="D10" i="6"/>
  <c r="D11" i="6"/>
  <c r="D12" i="6"/>
  <c r="D13" i="6"/>
  <c r="D14" i="6"/>
  <c r="D15" i="6"/>
  <c r="D16" i="6"/>
  <c r="D2" i="6"/>
  <c r="C3" i="6"/>
  <c r="C4" i="6"/>
  <c r="C5" i="6"/>
  <c r="C6" i="6"/>
  <c r="C7" i="6"/>
  <c r="C8" i="6"/>
  <c r="C9" i="6"/>
  <c r="C10" i="6"/>
  <c r="C11" i="6"/>
  <c r="C12" i="6"/>
  <c r="C13" i="6"/>
  <c r="C14" i="6"/>
  <c r="C15" i="6"/>
  <c r="C16" i="6"/>
  <c r="C2" i="6"/>
  <c r="E8" i="4"/>
  <c r="J32" i="13" a="1"/>
  <c r="J32" i="13" s="1"/>
  <c r="J30" i="13" a="1"/>
  <c r="J30" i="13" s="1"/>
  <c r="J31" i="13" a="1"/>
  <c r="J31" i="13" s="1"/>
  <c r="J29" i="13" a="1"/>
  <c r="J29" i="13" s="1"/>
  <c r="J28" i="13" a="1"/>
  <c r="J28" i="13" s="1"/>
  <c r="J27" i="13" a="1"/>
  <c r="J27" i="13" s="1"/>
  <c r="J26" i="13" a="1"/>
  <c r="J26" i="13" s="1"/>
  <c r="J23" i="13" a="1"/>
  <c r="J23" i="13" s="1"/>
  <c r="J24" i="13" a="1"/>
  <c r="J24" i="13" s="1"/>
  <c r="J25" i="13" a="1"/>
  <c r="J25" i="13" s="1"/>
  <c r="J22" i="13" a="1"/>
  <c r="J22" i="13" s="1"/>
  <c r="J21" i="13" a="1"/>
  <c r="J21" i="13" s="1"/>
  <c r="J20" i="13" a="1"/>
  <c r="J20" i="13" s="1"/>
  <c r="I32" i="13" a="1"/>
  <c r="I32" i="13" s="1"/>
  <c r="L32" i="13" s="1" a="1"/>
  <c r="L32" i="13" s="1"/>
  <c r="I31" i="13" a="1"/>
  <c r="I31" i="13" s="1"/>
  <c r="L31" i="13" s="1" a="1"/>
  <c r="L31" i="13" s="1"/>
  <c r="I30" i="13" a="1"/>
  <c r="I30" i="13" s="1"/>
  <c r="I29" i="13" a="1"/>
  <c r="I29" i="13" s="1"/>
  <c r="L29" i="13" s="1" a="1"/>
  <c r="L29" i="13" s="1"/>
  <c r="I28" i="13" a="1"/>
  <c r="I28" i="13" s="1"/>
  <c r="L28" i="13" s="1" a="1"/>
  <c r="L28" i="13" s="1"/>
  <c r="I27" i="13" a="1"/>
  <c r="I27" i="13" s="1"/>
  <c r="I26" i="13" a="1"/>
  <c r="I26" i="13" s="1"/>
  <c r="I23" i="13" a="1"/>
  <c r="I23" i="13" s="1"/>
  <c r="I24" i="13" a="1"/>
  <c r="I24" i="13" s="1"/>
  <c r="L24" i="13" s="1" a="1"/>
  <c r="L24" i="13" s="1"/>
  <c r="I25" i="13" a="1"/>
  <c r="I25" i="13" s="1"/>
  <c r="I22" i="13" a="1"/>
  <c r="I22" i="13" s="1"/>
  <c r="L22" i="13" s="1" a="1"/>
  <c r="L22" i="13" s="1"/>
  <c r="I21" i="13" a="1"/>
  <c r="I21" i="13" s="1"/>
  <c r="L21" i="13" s="1" a="1"/>
  <c r="L21" i="13" s="1"/>
  <c r="I20" i="13" a="1"/>
  <c r="I20" i="13" s="1"/>
  <c r="L20" i="13" s="1" a="1"/>
  <c r="L20" i="13" s="1"/>
  <c r="H32" i="13" a="1"/>
  <c r="H32" i="13" s="1"/>
  <c r="H31" i="13" a="1"/>
  <c r="H31" i="13" s="1"/>
  <c r="H30" i="13" a="1"/>
  <c r="H30" i="13" s="1"/>
  <c r="H29" i="13" a="1"/>
  <c r="H29" i="13" s="1"/>
  <c r="H28" i="13" a="1"/>
  <c r="H28" i="13" s="1"/>
  <c r="H27" i="13" a="1"/>
  <c r="H27" i="13" s="1"/>
  <c r="H26" i="13" a="1"/>
  <c r="H26" i="13" s="1"/>
  <c r="H22" i="13" a="1"/>
  <c r="H22" i="13" s="1"/>
  <c r="H23" i="13" a="1"/>
  <c r="H23" i="13" s="1"/>
  <c r="H24" i="13" a="1"/>
  <c r="H24" i="13" s="1"/>
  <c r="H25" i="13" a="1"/>
  <c r="H25" i="13" s="1"/>
  <c r="H21" i="13" a="1"/>
  <c r="H21" i="13" s="1"/>
  <c r="H20" i="13" a="1"/>
  <c r="H20" i="13" s="1"/>
  <c r="D49" i="13"/>
  <c r="D48" i="13"/>
  <c r="D46" i="13"/>
  <c r="D47" i="13"/>
  <c r="D45" i="13"/>
  <c r="D44" i="13"/>
  <c r="D43" i="13"/>
  <c r="D39" i="13"/>
  <c r="D40" i="13"/>
  <c r="D41" i="13"/>
  <c r="D42" i="13"/>
  <c r="D38" i="13"/>
  <c r="D37" i="13"/>
  <c r="C38" i="13"/>
  <c r="E38" i="13" s="1"/>
  <c r="C41" i="13"/>
  <c r="E41" i="13" s="1"/>
  <c r="C48" i="13"/>
  <c r="E48" i="13" s="1"/>
  <c r="C49" i="13"/>
  <c r="E49" i="13" s="1"/>
  <c r="C46" i="13"/>
  <c r="E46" i="13" s="1"/>
  <c r="C47" i="13"/>
  <c r="E47" i="13" s="1"/>
  <c r="C45" i="13"/>
  <c r="C44" i="13"/>
  <c r="E44" i="13" s="1"/>
  <c r="C43" i="13"/>
  <c r="E43" i="13" s="1"/>
  <c r="C40" i="13"/>
  <c r="E40" i="13" s="1"/>
  <c r="C42" i="13"/>
  <c r="E42" i="13" s="1"/>
  <c r="C39" i="13"/>
  <c r="E39" i="13" s="1"/>
  <c r="C37" i="13"/>
  <c r="E37" i="13" s="1"/>
  <c r="D34" i="13"/>
  <c r="D33" i="13"/>
  <c r="D21" i="13"/>
  <c r="D22" i="13"/>
  <c r="D23" i="13"/>
  <c r="D24" i="13"/>
  <c r="D25" i="13"/>
  <c r="D26" i="13"/>
  <c r="D27" i="13"/>
  <c r="D28" i="13"/>
  <c r="D29" i="13"/>
  <c r="D30" i="13"/>
  <c r="D31" i="13"/>
  <c r="D32" i="13"/>
  <c r="D20" i="13"/>
  <c r="C34" i="13"/>
  <c r="C33" i="13"/>
  <c r="C21" i="13"/>
  <c r="C22" i="13"/>
  <c r="C23" i="13"/>
  <c r="E23" i="13" s="1"/>
  <c r="C24" i="13"/>
  <c r="C25" i="13"/>
  <c r="C26" i="13"/>
  <c r="C27" i="13"/>
  <c r="C28" i="13"/>
  <c r="C29" i="13"/>
  <c r="C30" i="13"/>
  <c r="C31" i="13"/>
  <c r="C32" i="13"/>
  <c r="C20" i="13"/>
  <c r="D13" i="13" a="1"/>
  <c r="D13" i="13" s="1"/>
  <c r="D12" i="13" a="1"/>
  <c r="D12" i="13" s="1"/>
  <c r="D11" i="13" a="1"/>
  <c r="D11" i="13" s="1"/>
  <c r="D10" i="13" a="1"/>
  <c r="D10" i="13" s="1"/>
  <c r="D9" i="13"/>
  <c r="D8" i="13"/>
  <c r="E45" i="13"/>
  <c r="E26" i="13"/>
  <c r="E21" i="13"/>
  <c r="D16" i="13" a="1"/>
  <c r="D16" i="13" s="1"/>
  <c r="D15" i="13" a="1"/>
  <c r="D15" i="13" s="1"/>
  <c r="E25" i="13" l="1"/>
  <c r="E22" i="13"/>
  <c r="L30" i="13" a="1"/>
  <c r="L30" i="13" s="1"/>
  <c r="L25" i="13" a="1"/>
  <c r="L25" i="13" s="1"/>
  <c r="L23" i="13" a="1"/>
  <c r="L23" i="13" s="1"/>
  <c r="E9" i="13"/>
  <c r="L26" i="13" a="1"/>
  <c r="L26" i="13" s="1"/>
  <c r="E10" i="13"/>
  <c r="E34" i="13"/>
  <c r="E32" i="13"/>
  <c r="E30" i="13"/>
  <c r="E29" i="13"/>
  <c r="E28" i="13"/>
  <c r="E33" i="13"/>
  <c r="E27" i="13"/>
  <c r="E20" i="13"/>
  <c r="E24" i="13"/>
  <c r="E31" i="13"/>
  <c r="E13" i="13"/>
  <c r="E11" i="13"/>
  <c r="E12" i="13"/>
  <c r="E16" i="13"/>
  <c r="E50" i="13" l="1"/>
  <c r="C19" i="1"/>
  <c r="I21" i="1"/>
  <c r="G21" i="1"/>
  <c r="C21" i="1"/>
  <c r="E21" i="1"/>
  <c r="I19" i="1"/>
  <c r="G19" i="1"/>
  <c r="E19" i="1"/>
  <c r="I17" i="1"/>
  <c r="G17" i="1"/>
  <c r="E17" i="1"/>
  <c r="C17" i="1"/>
  <c r="C15" i="1"/>
  <c r="I15" i="1"/>
  <c r="G15" i="1"/>
  <c r="E15" i="1"/>
  <c r="B9" i="4" l="1"/>
  <c r="C5" i="4"/>
  <c r="C11" i="4" s="1"/>
  <c r="B5" i="4"/>
  <c r="B17" i="1"/>
  <c r="K72" i="1" l="1"/>
  <c r="K17" i="1"/>
  <c r="C41" i="1"/>
  <c r="D38" i="1" s="1"/>
  <c r="I41" i="1"/>
  <c r="J38" i="1" s="1"/>
  <c r="K56" i="1"/>
  <c r="K58" i="1"/>
  <c r="K65" i="1"/>
  <c r="D17" i="1"/>
  <c r="D16" i="1"/>
  <c r="K68" i="1"/>
  <c r="K70" i="1"/>
  <c r="H17" i="1"/>
  <c r="K27" i="1"/>
  <c r="K31" i="1"/>
  <c r="K69" i="1"/>
  <c r="K71" i="1"/>
  <c r="K73" i="1"/>
  <c r="F16" i="1"/>
  <c r="F17" i="1"/>
  <c r="E59" i="1"/>
  <c r="F52" i="1" s="1"/>
  <c r="K63" i="1"/>
  <c r="K67" i="1"/>
  <c r="K35" i="1"/>
  <c r="K46" i="1"/>
  <c r="K48" i="1"/>
  <c r="K50" i="1"/>
  <c r="K52" i="1"/>
  <c r="K54" i="1"/>
  <c r="C59" i="1"/>
  <c r="D44" i="1" s="1"/>
  <c r="K64" i="1"/>
  <c r="K16" i="1"/>
  <c r="K15" i="1"/>
  <c r="J16" i="1"/>
  <c r="K26" i="1"/>
  <c r="K28" i="1"/>
  <c r="K30" i="1"/>
  <c r="K32" i="1"/>
  <c r="K34" i="1"/>
  <c r="K37" i="1"/>
  <c r="K40" i="1"/>
  <c r="K62" i="1"/>
  <c r="K66" i="1"/>
  <c r="E41" i="1"/>
  <c r="F38" i="1" s="1"/>
  <c r="K44" i="1"/>
  <c r="C6" i="4"/>
  <c r="C7" i="4" s="1"/>
  <c r="C8" i="4" s="1"/>
  <c r="C9" i="4" s="1"/>
  <c r="K25" i="1"/>
  <c r="K33" i="1"/>
  <c r="K39" i="1"/>
  <c r="G41" i="1"/>
  <c r="H38" i="1" s="1"/>
  <c r="K45" i="1"/>
  <c r="K49" i="1"/>
  <c r="K53" i="1"/>
  <c r="K57" i="1"/>
  <c r="G59" i="1"/>
  <c r="H52" i="1" s="1"/>
  <c r="J17" i="1"/>
  <c r="K29" i="1"/>
  <c r="I59" i="1"/>
  <c r="J53" i="1" s="1"/>
  <c r="K47" i="1"/>
  <c r="K51" i="1"/>
  <c r="K55" i="1"/>
  <c r="H16" i="1"/>
  <c r="D41" i="1" l="1"/>
  <c r="D36" i="1"/>
  <c r="F41" i="1"/>
  <c r="F36" i="1"/>
  <c r="J41" i="1"/>
  <c r="J36" i="1"/>
  <c r="H41" i="1"/>
  <c r="H36" i="1"/>
  <c r="D37" i="1"/>
  <c r="D34" i="1"/>
  <c r="F51" i="1"/>
  <c r="F49" i="1"/>
  <c r="D29" i="1"/>
  <c r="D26" i="1"/>
  <c r="L17" i="1"/>
  <c r="D27" i="1"/>
  <c r="J52" i="1"/>
  <c r="H27" i="1"/>
  <c r="J37" i="1"/>
  <c r="F54" i="1"/>
  <c r="J40" i="1"/>
  <c r="F50" i="1"/>
  <c r="D40" i="1"/>
  <c r="J28" i="1"/>
  <c r="J34" i="1"/>
  <c r="J25" i="1"/>
  <c r="H57" i="1"/>
  <c r="D33" i="1"/>
  <c r="D32" i="1"/>
  <c r="J32" i="1"/>
  <c r="J27" i="1"/>
  <c r="J26" i="1"/>
  <c r="J39" i="1"/>
  <c r="D30" i="1"/>
  <c r="J33" i="1"/>
  <c r="D31" i="1"/>
  <c r="D25" i="1"/>
  <c r="J29" i="1"/>
  <c r="D28" i="1"/>
  <c r="F46" i="1"/>
  <c r="J30" i="1"/>
  <c r="D39" i="1"/>
  <c r="J31" i="1"/>
  <c r="D35" i="1"/>
  <c r="J35" i="1"/>
  <c r="F26" i="1"/>
  <c r="H54" i="1"/>
  <c r="F44" i="1"/>
  <c r="F47" i="1"/>
  <c r="F48" i="1"/>
  <c r="F59" i="1"/>
  <c r="D57" i="1"/>
  <c r="D58" i="1"/>
  <c r="D45" i="1"/>
  <c r="D51" i="1"/>
  <c r="D56" i="1"/>
  <c r="D54" i="1"/>
  <c r="H44" i="1"/>
  <c r="D52" i="1"/>
  <c r="H55" i="1"/>
  <c r="F57" i="1"/>
  <c r="D59" i="1"/>
  <c r="D55" i="1"/>
  <c r="F58" i="1"/>
  <c r="F55" i="1"/>
  <c r="C60" i="1"/>
  <c r="D47" i="1"/>
  <c r="F56" i="1"/>
  <c r="F53" i="1"/>
  <c r="J57" i="1"/>
  <c r="F27" i="1"/>
  <c r="L16" i="1"/>
  <c r="J50" i="1"/>
  <c r="J46" i="1"/>
  <c r="J47" i="1"/>
  <c r="J45" i="1"/>
  <c r="D50" i="1"/>
  <c r="H53" i="1"/>
  <c r="D53" i="1"/>
  <c r="H48" i="1"/>
  <c r="D48" i="1"/>
  <c r="H51" i="1"/>
  <c r="H46" i="1"/>
  <c r="D49" i="1"/>
  <c r="D46" i="1"/>
  <c r="J56" i="1"/>
  <c r="H50" i="1"/>
  <c r="H37" i="1"/>
  <c r="E60" i="1"/>
  <c r="F45" i="1"/>
  <c r="K59" i="1"/>
  <c r="L44" i="1" s="1"/>
  <c r="H39" i="1"/>
  <c r="J48" i="1"/>
  <c r="F37" i="1"/>
  <c r="H29" i="1"/>
  <c r="H35" i="1"/>
  <c r="H59" i="1"/>
  <c r="G60" i="1"/>
  <c r="K41" i="1"/>
  <c r="H49" i="1"/>
  <c r="H28" i="1"/>
  <c r="F34" i="1"/>
  <c r="H25" i="1"/>
  <c r="J59" i="1"/>
  <c r="I60" i="1"/>
  <c r="J55" i="1"/>
  <c r="H33" i="1"/>
  <c r="H30" i="1"/>
  <c r="J58" i="1"/>
  <c r="J51" i="1"/>
  <c r="H47" i="1"/>
  <c r="H26" i="1"/>
  <c r="J44" i="1"/>
  <c r="F32" i="1"/>
  <c r="F35" i="1"/>
  <c r="F39" i="1"/>
  <c r="H34" i="1"/>
  <c r="F25" i="1"/>
  <c r="H32" i="1"/>
  <c r="F40" i="1"/>
  <c r="J54" i="1"/>
  <c r="H31" i="1"/>
  <c r="J49" i="1"/>
  <c r="H45" i="1"/>
  <c r="F30" i="1"/>
  <c r="F33" i="1"/>
  <c r="F29" i="1"/>
  <c r="H40" i="1"/>
  <c r="H56" i="1"/>
  <c r="F28" i="1"/>
  <c r="F31" i="1"/>
  <c r="H58" i="1"/>
  <c r="L29" i="1" l="1"/>
  <c r="L38" i="1"/>
  <c r="L25" i="1"/>
  <c r="L45" i="1"/>
  <c r="L55" i="1"/>
  <c r="L57" i="1"/>
  <c r="L49" i="1"/>
  <c r="L53" i="1"/>
  <c r="L33" i="1"/>
  <c r="L39" i="1"/>
  <c r="L47" i="1"/>
  <c r="L59" i="1"/>
  <c r="L46" i="1"/>
  <c r="L54" i="1"/>
  <c r="L52" i="1"/>
  <c r="L56" i="1"/>
  <c r="L58" i="1"/>
  <c r="L48" i="1"/>
  <c r="L50" i="1"/>
  <c r="L41" i="1"/>
  <c r="L28" i="1"/>
  <c r="L34" i="1"/>
  <c r="L31" i="1"/>
  <c r="L30" i="1"/>
  <c r="L40" i="1"/>
  <c r="L26" i="1"/>
  <c r="L27" i="1"/>
  <c r="L32" i="1"/>
  <c r="L35" i="1"/>
  <c r="L37" i="1"/>
  <c r="L5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<sst xmlns="http://schemas.openxmlformats.org/spreadsheetml/2006/main" count="262" uniqueCount="166">
  <si>
    <t>DIVERSITY REPORT DETAILS</t>
  </si>
  <si>
    <t>Prepared By</t>
  </si>
  <si>
    <t>TealBook, Inc</t>
  </si>
  <si>
    <t>Prepared For</t>
  </si>
  <si>
    <t>BDG</t>
  </si>
  <si>
    <t>Period (from - to)</t>
  </si>
  <si>
    <t>2021Q1 - 2023Q1</t>
  </si>
  <si>
    <t>Report Date</t>
  </si>
  <si>
    <t>Total Spend ($)</t>
  </si>
  <si>
    <t>VARIABLES / DROP DOWN</t>
  </si>
  <si>
    <t>Location</t>
  </si>
  <si>
    <t>(Select the location)</t>
  </si>
  <si>
    <t>Certification Options</t>
  </si>
  <si>
    <t>All</t>
  </si>
  <si>
    <t>(Select the scope of certifications)</t>
  </si>
  <si>
    <t>Summary</t>
  </si>
  <si>
    <t>Q1</t>
  </si>
  <si>
    <t>Q2</t>
  </si>
  <si>
    <t>Q3</t>
  </si>
  <si>
    <t>Q4</t>
  </si>
  <si>
    <t>TOTAL</t>
  </si>
  <si>
    <t>Total Spend Matched ($)</t>
  </si>
  <si>
    <t>Number of (# Supplier ID)</t>
  </si>
  <si>
    <t>Number of Matched (# Supplier ID)</t>
  </si>
  <si>
    <t>Number of Diverse (# Supplier ID)</t>
  </si>
  <si>
    <t>INTERNAL REPORTING - TEALBOOK QUALIFIED</t>
  </si>
  <si>
    <t>(A quarterly breakdown of your diverse spend per diversity category, both by dollar amount and percentage of total diverse spend)</t>
  </si>
  <si>
    <t>SBE</t>
  </si>
  <si>
    <t>SBE (Small Business Enterprise )</t>
  </si>
  <si>
    <t>WBE</t>
  </si>
  <si>
    <t>WBE (Women-Owned Business Enterprise)</t>
  </si>
  <si>
    <t>SDB</t>
  </si>
  <si>
    <t>SDB (Small Disadvantaged Business)</t>
  </si>
  <si>
    <t>MBE</t>
  </si>
  <si>
    <t>MBE (Minority-Owned Business Enterprise)</t>
  </si>
  <si>
    <t>HUB</t>
  </si>
  <si>
    <t>HUB (HUBZone Certified)</t>
  </si>
  <si>
    <t>VBE</t>
  </si>
  <si>
    <t>VBE (Veteran Business Enterprise )</t>
  </si>
  <si>
    <t>DBE</t>
  </si>
  <si>
    <t>DBE (Disadvantaged Business Enterprise )</t>
  </si>
  <si>
    <t>CAB</t>
  </si>
  <si>
    <t>CAB (Certified Aboriginal Business)</t>
  </si>
  <si>
    <t>SDVBE</t>
  </si>
  <si>
    <t>SDVBE (Service-Disabled Veteran Business Enterprise)</t>
  </si>
  <si>
    <t>LGBTBE</t>
  </si>
  <si>
    <t>LGBTE (LGBT Owned Business Enterprise)</t>
  </si>
  <si>
    <t>BCORP</t>
  </si>
  <si>
    <t>BCORP (Certified Benefit Corporation)</t>
  </si>
  <si>
    <t>HUD (U.S. Department of Housing and Urban Development)</t>
  </si>
  <si>
    <t>VOSB</t>
  </si>
  <si>
    <t>VOSB (Veteran Owned Small Business)</t>
  </si>
  <si>
    <t>PWD</t>
  </si>
  <si>
    <t>PWD (People With Disability)</t>
  </si>
  <si>
    <t>DVBE</t>
  </si>
  <si>
    <t>DVBE (Disabled Veteran Business Enterprise)</t>
  </si>
  <si>
    <t>Total Spend ($) - DOUBLE COUNTING</t>
  </si>
  <si>
    <t>INTERNAL REPORTING - PRIORITIZED QUALIFIED</t>
  </si>
  <si>
    <t>(To accommodate spend with suppliers with multiple diversity certificates, thie sreport applies your spend towards the diversity categories that you'd like to priortize)</t>
  </si>
  <si>
    <t>HUD</t>
  </si>
  <si>
    <t>Check</t>
  </si>
  <si>
    <t>EXTERNAL REPORTING</t>
  </si>
  <si>
    <t>(Maps diversity subcategories to broader categories with the goal of streamlining diversity reporting based on what your organization needs)</t>
  </si>
  <si>
    <t>TB Small Business</t>
  </si>
  <si>
    <t>Small Business</t>
  </si>
  <si>
    <t>TB Small Women Owned Business</t>
  </si>
  <si>
    <t>Small Women Owned Business</t>
  </si>
  <si>
    <t>TB Small Veteran Business</t>
  </si>
  <si>
    <t>Small Disadvantaged Business</t>
  </si>
  <si>
    <t>TB Small Disadvantaged Business</t>
  </si>
  <si>
    <t>Small Veteran Business</t>
  </si>
  <si>
    <t>TB Small Disabled Veteran Business</t>
  </si>
  <si>
    <t>Small Disabled Veteran Business</t>
  </si>
  <si>
    <t>TB Small Hubzone Business</t>
  </si>
  <si>
    <t>Small Hubzone Business</t>
  </si>
  <si>
    <t>TB Small 8(a) Business</t>
  </si>
  <si>
    <t>Small 8(a) Business</t>
  </si>
  <si>
    <t>TB Minority Owned Business</t>
  </si>
  <si>
    <t>Minority Owned Business</t>
  </si>
  <si>
    <t>TB Woman Owned Business</t>
  </si>
  <si>
    <t>Woman Owned Business</t>
  </si>
  <si>
    <t>TB Veteran Owned Business</t>
  </si>
  <si>
    <t>Veteran Owned Business</t>
  </si>
  <si>
    <t>TB Disabled Owned Business</t>
  </si>
  <si>
    <t>Disabled Owned Business</t>
  </si>
  <si>
    <t>TB LGBT Owned Business</t>
  </si>
  <si>
    <t>LGBT Owned Business</t>
  </si>
  <si>
    <t>Domain</t>
  </si>
  <si>
    <t>Name</t>
  </si>
  <si>
    <t>Period</t>
  </si>
  <si>
    <t>Cust Name</t>
  </si>
  <si>
    <t>Internal Supplier Id</t>
  </si>
  <si>
    <t>Total Amount</t>
  </si>
  <si>
    <t>TB Qualified</t>
  </si>
  <si>
    <t>Certification</t>
  </si>
  <si>
    <t>Agency</t>
  </si>
  <si>
    <t>Cert Name</t>
  </si>
  <si>
    <t>Source</t>
  </si>
  <si>
    <t>Cert Alert</t>
  </si>
  <si>
    <t>Cert Expiry</t>
  </si>
  <si>
    <t>Ethnicity</t>
  </si>
  <si>
    <t>Potential</t>
  </si>
  <si>
    <t>2022Q1</t>
  </si>
  <si>
    <t>2022Q2</t>
  </si>
  <si>
    <t>SPEND</t>
  </si>
  <si>
    <t>DIVERSE</t>
  </si>
  <si>
    <t>Qualified</t>
  </si>
  <si>
    <t>FROM</t>
  </si>
  <si>
    <t>(Change Periods Manually)</t>
  </si>
  <si>
    <t>TO</t>
  </si>
  <si>
    <t>LOST</t>
  </si>
  <si>
    <t>NEW</t>
  </si>
  <si>
    <t>VOLUME</t>
  </si>
  <si>
    <t>Term</t>
  </si>
  <si>
    <t>Definition</t>
  </si>
  <si>
    <t>Lost</t>
  </si>
  <si>
    <t>When comparing between two quarters - LOST represents the amount of ‘Diverse Qualified Spend’ with suppliers that you transacted with in the initial quarter ('From' quarter) and did not transact with in the following quarter ('To quarter). 
Ex. Customer spent $100,000 with SupplierXYZ in Q1 and spent $0 with SupplierXYZ in Q2; LOST spend will be -$100,000.</t>
  </si>
  <si>
    <t>New</t>
  </si>
  <si>
    <t>When comparing between two quarters - NEW represents the amount of ‘Diverse Qualified spend’ with suppliers that you transacted with in the following quarter ('To quarter) but did not transact with in the initial quarter ('From' quarter).  
Ex. Customer spent $100,000 with SupplierXYZ in Q2 but did not transact with SupplierXYZ in Q1; NEW spend will be $100,000.</t>
  </si>
  <si>
    <t>Volume</t>
  </si>
  <si>
    <t>When comparing between two quarters - VOLUME represents the difference in the amount of ‘Diverse Qualified spend’ of all the suppliers that you transacted with in both quarters. 
Ex. Customer spent $100,000 with SupplierXYZ in Q1 and $150,000 in Q2; VOLUME spend will be $50,000.</t>
  </si>
  <si>
    <t>PERIOD</t>
  </si>
  <si>
    <t>Displays a trend line of your spend, visually comparing your total spend vs diverse spend per quarter over time.</t>
  </si>
  <si>
    <t xml:space="preserve">A Full List of Your Suppliers' Diversity Certificates </t>
  </si>
  <si>
    <t>VENDOR MASTER</t>
  </si>
  <si>
    <t>SUMMARY</t>
  </si>
  <si>
    <t>Total # of Supplier IDs</t>
  </si>
  <si>
    <t># of Provided Diverse Supplier IDs</t>
  </si>
  <si>
    <t># of Supplier IDs Found</t>
  </si>
  <si>
    <t># of Diverse Supplier IDs Found</t>
  </si>
  <si>
    <t>(includes Qualified &amp; Potential)</t>
  </si>
  <si>
    <t xml:space="preserve">        # of Qualified Supplier IDs</t>
  </si>
  <si>
    <t xml:space="preserve">        # of Potential Supplier IDs</t>
  </si>
  <si>
    <t>Total # of Certificates</t>
  </si>
  <si>
    <t>Total # of Customer Eligible Certificates</t>
  </si>
  <si>
    <t>REPORTING</t>
  </si>
  <si>
    <t>DELTA DIVERSITY</t>
  </si>
  <si>
    <t>INTERNAL REPORTING</t>
  </si>
  <si>
    <t>Total</t>
  </si>
  <si>
    <t>TB Only</t>
  </si>
  <si>
    <t>Both</t>
  </si>
  <si>
    <t>Customer</t>
  </si>
  <si>
    <r>
      <t>MBE</t>
    </r>
    <r>
      <rPr>
        <sz val="12"/>
        <color theme="1"/>
        <rFont val="Calibri"/>
        <family val="2"/>
        <scheme val="minor"/>
      </rPr>
      <t xml:space="preserve"> - Minority-Owned Business Enterprise</t>
    </r>
  </si>
  <si>
    <t>Total # of Suppliers IDs</t>
  </si>
  <si>
    <r>
      <t>WBE</t>
    </r>
    <r>
      <rPr>
        <sz val="12"/>
        <color theme="1"/>
        <rFont val="Calibri"/>
        <family val="2"/>
        <scheme val="minor"/>
      </rPr>
      <t xml:space="preserve"> - Women-Owned Business Enterprise</t>
    </r>
  </si>
  <si>
    <r>
      <t>VBE</t>
    </r>
    <r>
      <rPr>
        <sz val="12"/>
        <color theme="1"/>
        <rFont val="Calibri"/>
        <family val="2"/>
        <scheme val="minor"/>
      </rPr>
      <t xml:space="preserve"> - Veteran Business Enterprise</t>
    </r>
  </si>
  <si>
    <r>
      <t>DVBE</t>
    </r>
    <r>
      <rPr>
        <sz val="12"/>
        <color theme="1"/>
        <rFont val="Calibri"/>
        <family val="2"/>
        <scheme val="minor"/>
      </rPr>
      <t xml:space="preserve"> - Disabled Veteran Business Enterprise</t>
    </r>
  </si>
  <si>
    <r>
      <t>DBE</t>
    </r>
    <r>
      <rPr>
        <sz val="12"/>
        <color theme="1"/>
        <rFont val="Calibri"/>
        <family val="2"/>
        <scheme val="minor"/>
      </rPr>
      <t xml:space="preserve"> - Disadvantaged Business Enterprise</t>
    </r>
  </si>
  <si>
    <r>
      <t>LGBTBE</t>
    </r>
    <r>
      <rPr>
        <sz val="12"/>
        <color theme="1"/>
        <rFont val="Calibri"/>
        <family val="2"/>
        <scheme val="minor"/>
      </rPr>
      <t xml:space="preserve"> - LGBT Owned Business Enterprise</t>
    </r>
  </si>
  <si>
    <r>
      <t>SBE</t>
    </r>
    <r>
      <rPr>
        <sz val="12"/>
        <color theme="1"/>
        <rFont val="Calibri"/>
        <family val="2"/>
        <scheme val="minor"/>
      </rPr>
      <t xml:space="preserve"> - Small Business Enterprise</t>
    </r>
  </si>
  <si>
    <r>
      <t xml:space="preserve">SDVBE </t>
    </r>
    <r>
      <rPr>
        <sz val="12"/>
        <color theme="1"/>
        <rFont val="Calibri"/>
        <family val="2"/>
        <scheme val="minor"/>
      </rPr>
      <t>- Service-Disabled Veteran Business Enterprise</t>
    </r>
  </si>
  <si>
    <r>
      <t>HUB</t>
    </r>
    <r>
      <rPr>
        <sz val="12"/>
        <color theme="1"/>
        <rFont val="Calibri"/>
        <family val="2"/>
        <scheme val="minor"/>
      </rPr>
      <t xml:space="preserve"> - Historically Underutilized Business </t>
    </r>
  </si>
  <si>
    <r>
      <t>SDB</t>
    </r>
    <r>
      <rPr>
        <sz val="12"/>
        <color theme="1"/>
        <rFont val="Calibri"/>
        <family val="2"/>
        <scheme val="minor"/>
      </rPr>
      <t xml:space="preserve"> - Small Disadvantaged Business</t>
    </r>
  </si>
  <si>
    <r>
      <t>CAB</t>
    </r>
    <r>
      <rPr>
        <sz val="12"/>
        <color theme="1"/>
        <rFont val="Calibri"/>
        <family val="2"/>
        <scheme val="minor"/>
      </rPr>
      <t xml:space="preserve"> - Certified Aboriginal Business</t>
    </r>
  </si>
  <si>
    <r>
      <t>BCORP</t>
    </r>
    <r>
      <rPr>
        <sz val="12"/>
        <color theme="1"/>
        <rFont val="Calibri"/>
        <family val="2"/>
        <scheme val="minor"/>
      </rPr>
      <t xml:space="preserve"> - Certified Benefit Corporation)</t>
    </r>
  </si>
  <si>
    <t>HBCU</t>
  </si>
  <si>
    <r>
      <t>HBCU</t>
    </r>
    <r>
      <rPr>
        <sz val="12"/>
        <color theme="1"/>
        <rFont val="Calibri"/>
        <family val="2"/>
        <scheme val="minor"/>
      </rPr>
      <t xml:space="preserve"> - Historically Black Colleges and Universities</t>
    </r>
  </si>
  <si>
    <t>WLE</t>
  </si>
  <si>
    <r>
      <t>WLE</t>
    </r>
    <r>
      <rPr>
        <sz val="12"/>
        <color theme="1"/>
        <rFont val="Calibri"/>
        <family val="2"/>
        <scheme val="minor"/>
      </rPr>
      <t xml:space="preserve"> - Women Led Business Enterprise</t>
    </r>
  </si>
  <si>
    <r>
      <t>PWD</t>
    </r>
    <r>
      <rPr>
        <sz val="12"/>
        <color theme="1"/>
        <rFont val="Calibri"/>
        <family val="2"/>
        <scheme val="minor"/>
      </rPr>
      <t xml:space="preserve"> - Persons with Disabilities</t>
    </r>
  </si>
  <si>
    <t>Calendar Year</t>
  </si>
  <si>
    <t>(Select the calendar year)</t>
  </si>
  <si>
    <t>(This table represents the spend Information for the selected calendar year and certification option. Please click on the LINK to navigate for more details)</t>
  </si>
  <si>
    <t>Business Units</t>
  </si>
  <si>
    <t>Category</t>
  </si>
  <si>
    <t>WLE (Women Led Enterprise)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</si>
</sst>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
    <numFmt numFmtId="166" formatCode="_(&quot;$&quot;* #,##0.0_)&quot;M&quot;;_(&quot;$&quot;* \(#,##0.0\)&quot;M&quot;;_(&quot;$&quot;* &quot;-&quot;??_);_(@_)"/>
    <numFmt numFmtId="167" formatCode="_(* #,##0_);_(* \(#,##0\);_(* &quot;-&quot;??_);_(@_)"/>
  </numFmts>
  <fonts count="22" x14ac:knownFonts="1">
    <font>
      <sz val="12"/>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b/>
      <sz val="14"/>
      <color theme="1"/>
      <name val="Calibri"/>
      <family val="2"/>
    </font>
    <font>
      <i/>
      <sz val="12"/>
      <color theme="1"/>
      <name val="Calibri"/>
      <family val="2"/>
      <scheme val="minor"/>
    </font>
    <font>
      <b/>
      <sz val="11"/>
      <color rgb="FF000000"/>
      <name val="Calibri"/>
      <family val="2"/>
    </font>
    <font>
      <b/>
      <i/>
      <sz val="12"/>
      <color theme="1"/>
      <name val="Calibri"/>
      <family val="2"/>
      <scheme val="minor"/>
    </font>
    <font>
      <sz val="12"/>
      <color theme="0"/>
      <name val="Calibri"/>
      <family val="2"/>
      <scheme val="minor"/>
    </font>
    <font>
      <i/>
      <sz val="12"/>
      <color rgb="FFC00000"/>
      <name val="Calibri"/>
      <family val="2"/>
      <scheme val="minor"/>
    </font>
    <font>
      <b/>
      <i/>
      <sz val="11"/>
      <color rgb="FFFF0000"/>
      <name val="Calibri (Body)"/>
    </font>
    <font>
      <i/>
      <sz val="12"/>
      <color rgb="FFFF0000"/>
      <name val="Calibri (Body)"/>
    </font>
    <font>
      <b/>
      <sz val="14"/>
      <name val="Calibri Light"/>
      <family val="2"/>
      <scheme val="major"/>
    </font>
    <font>
      <u/>
      <sz val="12"/>
      <color theme="10"/>
      <name val="Calibri"/>
      <family val="2"/>
      <scheme val="minor"/>
    </font>
    <font>
      <sz val="12"/>
      <name val="Calibri (Body)"/>
    </font>
    <font>
      <sz val="11.5"/>
      <color rgb="FF1D1C1D"/>
      <name val="Arial"/>
      <family val="2"/>
    </font>
    <font>
      <sz val="12"/>
      <color rgb="FFFF0000"/>
      <name val="Calibri"/>
      <family val="2"/>
      <scheme val="minor"/>
    </font>
    <font>
      <sz val="18"/>
      <name val="Calibri (Body)"/>
    </font>
    <font>
      <b/>
      <sz val="14"/>
      <color theme="1"/>
      <name val="Calibri (Body)"/>
    </font>
    <font>
      <i/>
      <sz val="12"/>
      <color theme="0"/>
      <name val="Calibri"/>
      <family val="2"/>
      <scheme val="minor"/>
    </font>
    <font>
      <i/>
      <sz val="12"/>
      <color rgb="FFFF0000"/>
      <name val="Calibri"/>
      <family val="2"/>
      <scheme val="minor"/>
    </font>
    <font>
      <sz val="12"/>
      <name val="Calibri"/>
      <family val="2"/>
      <scheme val="minor"/>
    </font>
  </fonts>
  <fills count="10">
    <fill>
      <patternFill patternType="none"/>
    </fill>
    <fill>
      <patternFill patternType="gray125"/>
    </fill>
    <fill>
      <patternFill patternType="solid">
        <fgColor rgb="FF51E4D9"/>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rgb="FF46BEC6"/>
        <bgColor indexed="64"/>
      </patternFill>
    </fill>
    <fill>
      <patternFill patternType="solid">
        <fgColor theme="0" tint="-0.249977111117893"/>
        <bgColor indexed="64"/>
      </patternFill>
    </fill>
    <fill>
      <patternFill patternType="solid">
        <fgColor rgb="FFFFFF00"/>
        <bgColor indexed="64"/>
      </patternFill>
    </fill>
    <fill>
      <patternFill patternType="solid">
        <fgColor rgb="FF00FFE7"/>
        <bgColor indexed="64"/>
      </patternFill>
    </fill>
  </fills>
  <borders count="54">
    <border>
      <left/>
      <right/>
      <top/>
      <bottom/>
      <diagonal/>
    </border>
    <border>
      <left/>
      <right/>
      <top style="thin">
        <color indexed="64"/>
      </top>
      <bottom/>
      <diagonal/>
    </border>
    <border>
      <left/>
      <right style="hair">
        <color theme="0" tint="-0.499984740745262"/>
      </right>
      <top/>
      <bottom/>
      <diagonal/>
    </border>
    <border>
      <left style="hair">
        <color theme="0" tint="-0.499984740745262"/>
      </left>
      <right/>
      <top/>
      <bottom/>
      <diagonal/>
    </border>
    <border>
      <left style="hair">
        <color theme="9"/>
      </left>
      <right/>
      <top/>
      <bottom/>
      <diagonal/>
    </border>
    <border>
      <left style="hair">
        <color theme="9"/>
      </left>
      <right/>
      <top style="hair">
        <color theme="9"/>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style="hair">
        <color theme="0" tint="-0.499984740745262"/>
      </left>
      <right/>
      <top style="hair">
        <color theme="0" tint="-0.499984740745262"/>
      </top>
      <bottom/>
      <diagonal/>
    </border>
    <border>
      <left/>
      <right style="hair">
        <color theme="0" tint="-0.499984740745262"/>
      </right>
      <top style="hair">
        <color theme="0" tint="-0.499984740745262"/>
      </top>
      <bottom/>
      <diagonal/>
    </border>
    <border>
      <left style="thin">
        <color theme="0" tint="-0.499984740745262"/>
      </left>
      <right/>
      <top/>
      <bottom style="thin">
        <color indexed="64"/>
      </bottom>
      <diagonal/>
    </border>
    <border>
      <left/>
      <right/>
      <top/>
      <bottom style="thin">
        <color indexed="64"/>
      </bottom>
      <diagonal/>
    </border>
    <border>
      <left/>
      <right style="thin">
        <color theme="0" tint="-0.499984740745262"/>
      </right>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indexed="64"/>
      </top>
      <bottom/>
      <diagonal/>
    </border>
    <border>
      <left/>
      <right style="thin">
        <color theme="0" tint="-0.499984740745262"/>
      </right>
      <top style="thin">
        <color indexed="64"/>
      </top>
      <bottom/>
      <diagonal/>
    </border>
    <border>
      <left style="hair">
        <color theme="0" tint="-0.499984740745262"/>
      </left>
      <right style="hair">
        <color theme="0" tint="-0.499984740745262"/>
      </right>
      <top style="hair">
        <color theme="0" tint="-0.499984740745262"/>
      </top>
      <bottom/>
      <diagonal/>
    </border>
    <border>
      <left/>
      <right/>
      <top/>
      <bottom style="thin">
        <color theme="1"/>
      </bottom>
      <diagonal/>
    </border>
    <border>
      <left style="thin">
        <color theme="1"/>
      </left>
      <right style="thin">
        <color theme="0" tint="-0.34998626667073579"/>
      </right>
      <top style="thin">
        <color theme="1"/>
      </top>
      <bottom/>
      <diagonal/>
    </border>
    <border>
      <left/>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right style="thin">
        <color theme="0" tint="-0.14990691854609822"/>
      </right>
      <top/>
      <bottom/>
      <diagonal/>
    </border>
    <border>
      <left style="hair">
        <color theme="0" tint="-0.499984740745262"/>
      </left>
      <right style="thin">
        <color theme="0" tint="-0.14990691854609822"/>
      </right>
      <top/>
      <bottom/>
      <diagonal/>
    </border>
    <border>
      <left style="hair">
        <color theme="0" tint="-0.499984740745262"/>
      </left>
      <right style="hair">
        <color theme="0" tint="-0.499984740745262"/>
      </right>
      <top style="hair">
        <color theme="0" tint="-0.499984740745262"/>
      </top>
      <bottom style="thin">
        <color indexed="64"/>
      </bottom>
      <diagonal/>
    </border>
    <border>
      <left/>
      <right style="hair">
        <color theme="0" tint="-0.499984740745262"/>
      </right>
      <top style="hair">
        <color theme="0" tint="-0.499984740745262"/>
      </top>
      <bottom style="thin">
        <color indexed="64"/>
      </bottom>
      <diagonal/>
    </border>
    <border>
      <left style="hair">
        <color theme="0" tint="-0.499984740745262"/>
      </left>
      <right/>
      <top/>
      <bottom style="thin">
        <color indexed="64"/>
      </bottom>
      <diagonal/>
    </border>
    <border>
      <left/>
      <right style="hair">
        <color theme="0" tint="-0.499984740745262"/>
      </right>
      <top/>
      <bottom style="thin">
        <color indexed="64"/>
      </bottom>
      <diagonal/>
    </border>
    <border>
      <left/>
      <right style="hair">
        <color theme="0" tint="-0.499984740745262"/>
      </right>
      <top style="thin">
        <color indexed="64"/>
      </top>
      <bottom/>
      <diagonal/>
    </border>
    <border>
      <left style="thin">
        <color indexed="64"/>
      </left>
      <right style="thin">
        <color indexed="64"/>
      </right>
      <top style="thin">
        <color indexed="64"/>
      </top>
      <bottom style="thin">
        <color indexed="64"/>
      </bottom>
      <diagonal/>
    </border>
    <border>
      <left/>
      <right style="thin">
        <color theme="0" tint="-0.34998626667073579"/>
      </right>
      <top style="thin">
        <color theme="1"/>
      </top>
      <bottom/>
      <diagonal/>
    </border>
    <border>
      <left style="thin">
        <color theme="0" tint="-0.499984740745262"/>
      </left>
      <right style="thin">
        <color theme="0" tint="-0.499984740745262"/>
      </right>
      <top style="thin">
        <color theme="0" tint="-0.499984740745262"/>
      </top>
      <bottom style="thin">
        <color indexed="64"/>
      </bottom>
      <diagonal/>
    </border>
    <border>
      <left/>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right style="thin">
        <color indexed="64"/>
      </right>
      <top style="thin">
        <color indexed="64"/>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indexed="64"/>
      </right>
      <top/>
      <bottom/>
      <diagonal/>
    </border>
    <border>
      <left style="thin">
        <color theme="0" tint="-0.499984740745262"/>
      </left>
      <right/>
      <top style="thin">
        <color theme="0" tint="-0.499984740745262"/>
      </top>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top style="thin">
        <color indexed="64"/>
      </top>
      <bottom style="thin">
        <color indexed="64"/>
      </bottom>
      <diagonal/>
    </border>
    <border>
      <left/>
      <right style="thin">
        <color theme="0" tint="-0.499984740745262"/>
      </right>
      <top style="thin">
        <color indexed="64"/>
      </top>
      <bottom style="thin">
        <color indexed="64"/>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s>
  <cellStyleXfs count="7">
    <xf numFmtId="0" fontId="0" fillId="0" borderId="0"/>
    <xf numFmtId="44" fontId="1" fillId="0" borderId="0"/>
    <xf numFmtId="43" fontId="1" fillId="0" borderId="0"/>
    <xf numFmtId="9" fontId="1" fillId="0" borderId="0"/>
    <xf numFmtId="44" fontId="1" fillId="0" borderId="0"/>
    <xf numFmtId="0" fontId="13" fillId="0" borderId="0"/>
    <xf numFmtId="43" fontId="1" fillId="0" borderId="0" applyFont="0" applyFill="0" applyBorder="0" applyAlignment="0" applyProtection="0"/>
  </cellStyleXfs>
  <cellXfs count="141">
    <xf numFmtId="0" fontId="0" fillId="0" borderId="0" xfId="0"/>
    <xf numFmtId="0" fontId="0" fillId="0" borderId="0" xfId="0" applyAlignment="1">
      <alignment horizontal="right"/>
    </xf>
    <xf numFmtId="44" fontId="0" fillId="0" borderId="0" xfId="1" applyFont="1" applyAlignment="1">
      <alignment horizontal="right"/>
    </xf>
    <xf numFmtId="0" fontId="2" fillId="3" borderId="1" xfId="0" applyFont="1" applyFill="1" applyBorder="1"/>
    <xf numFmtId="41" fontId="0" fillId="0" borderId="3" xfId="2" applyNumberFormat="1" applyFont="1" applyBorder="1"/>
    <xf numFmtId="41" fontId="0" fillId="3" borderId="3" xfId="2" applyNumberFormat="1" applyFont="1" applyFill="1" applyBorder="1"/>
    <xf numFmtId="0" fontId="4" fillId="2" borderId="0" xfId="0" applyFont="1" applyFill="1" applyAlignment="1">
      <alignment vertical="center" wrapText="1"/>
    </xf>
    <xf numFmtId="0" fontId="5" fillId="0" borderId="0" xfId="0" applyFont="1" applyAlignment="1">
      <alignment vertical="center" wrapText="1"/>
    </xf>
    <xf numFmtId="0" fontId="0" fillId="0" borderId="0" xfId="0" applyAlignment="1">
      <alignment vertical="center" wrapText="1"/>
    </xf>
    <xf numFmtId="0" fontId="6" fillId="0" borderId="5" xfId="0" applyFont="1" applyBorder="1"/>
    <xf numFmtId="0" fontId="6" fillId="0" borderId="4" xfId="0" applyFont="1" applyBorder="1"/>
    <xf numFmtId="0" fontId="2" fillId="0" borderId="8" xfId="0" applyFont="1" applyBorder="1"/>
    <xf numFmtId="0" fontId="0" fillId="0" borderId="9" xfId="0" applyBorder="1" applyAlignment="1">
      <alignment horizontal="right"/>
    </xf>
    <xf numFmtId="0" fontId="2" fillId="3" borderId="10" xfId="0" applyFont="1" applyFill="1" applyBorder="1"/>
    <xf numFmtId="0" fontId="2" fillId="3" borderId="11" xfId="0" applyFont="1" applyFill="1" applyBorder="1"/>
    <xf numFmtId="164" fontId="2" fillId="3" borderId="12" xfId="1" applyNumberFormat="1" applyFont="1" applyFill="1" applyBorder="1"/>
    <xf numFmtId="0" fontId="4" fillId="2" borderId="13" xfId="0" applyFont="1" applyFill="1" applyBorder="1" applyAlignment="1">
      <alignment vertical="center" wrapText="1"/>
    </xf>
    <xf numFmtId="0" fontId="2" fillId="0" borderId="3" xfId="0" applyFont="1" applyBorder="1"/>
    <xf numFmtId="164" fontId="1" fillId="0" borderId="3" xfId="1" applyNumberFormat="1" applyBorder="1"/>
    <xf numFmtId="44" fontId="0" fillId="0" borderId="2" xfId="1" applyFont="1" applyBorder="1" applyAlignment="1">
      <alignment horizontal="right"/>
    </xf>
    <xf numFmtId="0" fontId="2" fillId="3" borderId="3" xfId="0" applyFont="1" applyFill="1" applyBorder="1"/>
    <xf numFmtId="164" fontId="2" fillId="3" borderId="1" xfId="0" applyNumberFormat="1" applyFont="1" applyFill="1" applyBorder="1"/>
    <xf numFmtId="0" fontId="2" fillId="0" borderId="15" xfId="0" applyFont="1" applyBorder="1"/>
    <xf numFmtId="0" fontId="5" fillId="0" borderId="0" xfId="0" applyFont="1"/>
    <xf numFmtId="0" fontId="2" fillId="0" borderId="0" xfId="0" applyFont="1"/>
    <xf numFmtId="0" fontId="2" fillId="0" borderId="19" xfId="0" applyFont="1" applyBorder="1"/>
    <xf numFmtId="165" fontId="1" fillId="0" borderId="0" xfId="3" applyNumberFormat="1"/>
    <xf numFmtId="0" fontId="8" fillId="0" borderId="0" xfId="0" applyFont="1" applyAlignment="1">
      <alignment horizontal="right"/>
    </xf>
    <xf numFmtId="0" fontId="2" fillId="0" borderId="0" xfId="0" applyFont="1" applyAlignment="1">
      <alignment horizontal="left" vertical="top"/>
    </xf>
    <xf numFmtId="166" fontId="0" fillId="0" borderId="0" xfId="4" applyNumberFormat="1" applyFont="1"/>
    <xf numFmtId="164" fontId="9" fillId="0" borderId="0" xfId="0" applyNumberFormat="1" applyFont="1"/>
    <xf numFmtId="15" fontId="0" fillId="0" borderId="9" xfId="0" applyNumberFormat="1" applyBorder="1" applyAlignment="1">
      <alignment horizontal="right"/>
    </xf>
    <xf numFmtId="0" fontId="0" fillId="0" borderId="22" xfId="0" applyBorder="1" applyAlignment="1">
      <alignment horizontal="right"/>
    </xf>
    <xf numFmtId="0" fontId="0" fillId="0" borderId="22" xfId="0" applyBorder="1"/>
    <xf numFmtId="0" fontId="2" fillId="0" borderId="25" xfId="0" applyFont="1" applyBorder="1"/>
    <xf numFmtId="0" fontId="7" fillId="4" borderId="26" xfId="0" applyFont="1" applyFill="1" applyBorder="1" applyAlignment="1">
      <alignment horizontal="center" vertical="center"/>
    </xf>
    <xf numFmtId="0" fontId="2" fillId="0" borderId="27" xfId="0" applyFont="1" applyBorder="1"/>
    <xf numFmtId="0" fontId="2" fillId="4" borderId="28" xfId="0" applyFont="1" applyFill="1" applyBorder="1" applyAlignment="1">
      <alignment horizontal="center" vertical="center"/>
    </xf>
    <xf numFmtId="165" fontId="1" fillId="0" borderId="29" xfId="3" applyNumberFormat="1" applyBorder="1"/>
    <xf numFmtId="41" fontId="0" fillId="3" borderId="30" xfId="2" applyNumberFormat="1" applyFont="1" applyFill="1" applyBorder="1"/>
    <xf numFmtId="165" fontId="0" fillId="0" borderId="2" xfId="3" applyNumberFormat="1" applyFont="1" applyBorder="1" applyAlignment="1">
      <alignment horizontal="right"/>
    </xf>
    <xf numFmtId="165" fontId="2" fillId="3" borderId="1" xfId="3" applyNumberFormat="1" applyFont="1" applyFill="1" applyBorder="1"/>
    <xf numFmtId="0" fontId="10" fillId="0" borderId="0" xfId="0" applyFont="1"/>
    <xf numFmtId="164" fontId="11" fillId="0" borderId="0" xfId="0" applyNumberFormat="1" applyFont="1"/>
    <xf numFmtId="0" fontId="11" fillId="0" borderId="0" xfId="0" applyFont="1"/>
    <xf numFmtId="0" fontId="4" fillId="2" borderId="16" xfId="0" applyFont="1" applyFill="1" applyBorder="1" applyAlignment="1">
      <alignment vertical="center" wrapText="1"/>
    </xf>
    <xf numFmtId="165" fontId="0" fillId="4" borderId="2" xfId="3" applyNumberFormat="1" applyFont="1" applyFill="1" applyBorder="1" applyAlignment="1">
      <alignment horizontal="right"/>
    </xf>
    <xf numFmtId="165" fontId="0" fillId="4" borderId="20" xfId="3" applyNumberFormat="1" applyFont="1" applyFill="1" applyBorder="1" applyAlignment="1">
      <alignment horizontal="right"/>
    </xf>
    <xf numFmtId="165" fontId="0" fillId="4" borderId="9" xfId="3" applyNumberFormat="1" applyFont="1" applyFill="1" applyBorder="1" applyAlignment="1">
      <alignment horizontal="right"/>
    </xf>
    <xf numFmtId="164" fontId="1" fillId="0" borderId="33" xfId="1" applyNumberFormat="1" applyBorder="1"/>
    <xf numFmtId="165" fontId="0" fillId="4" borderId="34" xfId="3" applyNumberFormat="1" applyFont="1" applyFill="1" applyBorder="1" applyAlignment="1">
      <alignment horizontal="right"/>
    </xf>
    <xf numFmtId="165" fontId="0" fillId="4" borderId="17" xfId="3" applyNumberFormat="1" applyFont="1" applyFill="1" applyBorder="1" applyAlignment="1">
      <alignment horizontal="right"/>
    </xf>
    <xf numFmtId="165" fontId="0" fillId="4" borderId="35" xfId="3" applyNumberFormat="1" applyFont="1" applyFill="1" applyBorder="1" applyAlignment="1">
      <alignment horizontal="right"/>
    </xf>
    <xf numFmtId="0" fontId="0" fillId="0" borderId="36" xfId="0" applyBorder="1"/>
    <xf numFmtId="0" fontId="2" fillId="0" borderId="36" xfId="0" applyFont="1" applyBorder="1"/>
    <xf numFmtId="0" fontId="0" fillId="0" borderId="0" xfId="0" applyAlignment="1">
      <alignment wrapText="1"/>
    </xf>
    <xf numFmtId="0" fontId="12" fillId="0" borderId="0" xfId="0" applyFont="1"/>
    <xf numFmtId="0" fontId="14" fillId="0" borderId="0" xfId="5" applyFont="1" applyAlignment="1">
      <alignment wrapText="1"/>
    </xf>
    <xf numFmtId="0" fontId="4" fillId="2" borderId="0" xfId="0" applyFont="1" applyFill="1" applyAlignment="1">
      <alignment horizontal="center" vertical="center" wrapText="1"/>
    </xf>
    <xf numFmtId="0" fontId="15" fillId="0" borderId="36" xfId="0" applyFont="1" applyBorder="1" applyAlignment="1">
      <alignment vertical="top" wrapText="1"/>
    </xf>
    <xf numFmtId="0" fontId="2" fillId="4" borderId="26" xfId="0" applyFont="1" applyFill="1" applyBorder="1" applyAlignment="1">
      <alignment horizontal="center" vertical="center"/>
    </xf>
    <xf numFmtId="0" fontId="0" fillId="0" borderId="0" xfId="0" quotePrefix="1"/>
    <xf numFmtId="0" fontId="8" fillId="5" borderId="0" xfId="0" applyFont="1" applyFill="1" applyAlignment="1">
      <alignment horizontal="right"/>
    </xf>
    <xf numFmtId="0" fontId="0" fillId="3" borderId="9" xfId="0" applyFill="1" applyBorder="1" applyAlignment="1">
      <alignment horizontal="right"/>
    </xf>
    <xf numFmtId="0" fontId="2" fillId="0" borderId="16" xfId="0" applyFont="1" applyBorder="1"/>
    <xf numFmtId="0" fontId="0" fillId="0" borderId="16" xfId="0" applyBorder="1"/>
    <xf numFmtId="15" fontId="0" fillId="0" borderId="17" xfId="0" applyNumberFormat="1" applyBorder="1"/>
    <xf numFmtId="15" fontId="0" fillId="0" borderId="0" xfId="0" applyNumberFormat="1"/>
    <xf numFmtId="167" fontId="0" fillId="0" borderId="0" xfId="2" applyNumberFormat="1" applyFont="1" applyAlignment="1">
      <alignment horizontal="right"/>
    </xf>
    <xf numFmtId="0" fontId="0" fillId="0" borderId="9" xfId="0" applyBorder="1"/>
    <xf numFmtId="165" fontId="0" fillId="0" borderId="9" xfId="3" applyNumberFormat="1" applyFont="1" applyBorder="1"/>
    <xf numFmtId="0" fontId="5" fillId="0" borderId="8" xfId="0" applyFont="1" applyBorder="1"/>
    <xf numFmtId="167" fontId="5" fillId="0" borderId="0" xfId="2" applyNumberFormat="1" applyFont="1" applyAlignment="1">
      <alignment horizontal="right"/>
    </xf>
    <xf numFmtId="165" fontId="5" fillId="0" borderId="9" xfId="3" applyNumberFormat="1" applyFont="1" applyBorder="1"/>
    <xf numFmtId="0" fontId="2" fillId="7" borderId="8" xfId="0" applyFont="1" applyFill="1" applyBorder="1"/>
    <xf numFmtId="0" fontId="2" fillId="7" borderId="0" xfId="0" applyFont="1" applyFill="1"/>
    <xf numFmtId="167" fontId="0" fillId="7" borderId="0" xfId="2" applyNumberFormat="1" applyFont="1" applyFill="1" applyAlignment="1">
      <alignment horizontal="right"/>
    </xf>
    <xf numFmtId="165" fontId="0" fillId="7" borderId="9" xfId="3" applyNumberFormat="1" applyFont="1" applyFill="1" applyBorder="1"/>
    <xf numFmtId="167" fontId="0" fillId="0" borderId="16" xfId="2" applyNumberFormat="1" applyFont="1" applyBorder="1" applyAlignment="1">
      <alignment horizontal="right"/>
    </xf>
    <xf numFmtId="165" fontId="0" fillId="0" borderId="17" xfId="3" applyNumberFormat="1" applyFont="1" applyBorder="1"/>
    <xf numFmtId="0" fontId="2" fillId="6" borderId="15" xfId="0" applyFont="1" applyFill="1" applyBorder="1" applyAlignment="1">
      <alignment horizontal="center"/>
    </xf>
    <xf numFmtId="0" fontId="2" fillId="6" borderId="16" xfId="0" applyFont="1" applyFill="1" applyBorder="1" applyAlignment="1">
      <alignment horizontal="center"/>
    </xf>
    <xf numFmtId="167" fontId="2" fillId="6" borderId="16" xfId="2" applyNumberFormat="1" applyFont="1" applyFill="1" applyBorder="1" applyAlignment="1">
      <alignment horizontal="center"/>
    </xf>
    <xf numFmtId="165" fontId="2" fillId="6" borderId="17" xfId="3" applyNumberFormat="1" applyFont="1" applyFill="1" applyBorder="1" applyAlignment="1">
      <alignment horizontal="center"/>
    </xf>
    <xf numFmtId="0" fontId="2" fillId="6" borderId="8" xfId="0" applyFont="1" applyFill="1" applyBorder="1" applyAlignment="1">
      <alignment horizontal="center"/>
    </xf>
    <xf numFmtId="0" fontId="2" fillId="6" borderId="0" xfId="0" applyFont="1" applyFill="1" applyAlignment="1">
      <alignment horizontal="center"/>
    </xf>
    <xf numFmtId="167" fontId="2" fillId="6" borderId="0" xfId="2" applyNumberFormat="1" applyFont="1" applyFill="1" applyAlignment="1">
      <alignment horizontal="center"/>
    </xf>
    <xf numFmtId="165" fontId="2" fillId="6" borderId="9" xfId="3" applyNumberFormat="1" applyFont="1" applyFill="1" applyBorder="1" applyAlignment="1">
      <alignment horizontal="center"/>
    </xf>
    <xf numFmtId="0" fontId="16" fillId="0" borderId="0" xfId="0" applyFont="1" applyAlignment="1">
      <alignment horizontal="center"/>
    </xf>
    <xf numFmtId="0" fontId="19" fillId="0" borderId="0" xfId="0" applyFont="1" applyAlignment="1">
      <alignment horizontal="right"/>
    </xf>
    <xf numFmtId="167" fontId="0" fillId="0" borderId="0" xfId="6" applyNumberFormat="1" applyFont="1"/>
    <xf numFmtId="167" fontId="2" fillId="3" borderId="41" xfId="6" applyNumberFormat="1" applyFont="1" applyFill="1" applyBorder="1"/>
    <xf numFmtId="0" fontId="2" fillId="0" borderId="42" xfId="0" applyFont="1" applyBorder="1"/>
    <xf numFmtId="167" fontId="2" fillId="0" borderId="43" xfId="2" applyNumberFormat="1" applyFont="1" applyBorder="1"/>
    <xf numFmtId="167" fontId="0" fillId="0" borderId="43" xfId="2" applyNumberFormat="1" applyFont="1" applyBorder="1" applyAlignment="1">
      <alignment horizontal="right"/>
    </xf>
    <xf numFmtId="167" fontId="0" fillId="0" borderId="44" xfId="2" applyNumberFormat="1" applyFont="1" applyBorder="1" applyAlignment="1">
      <alignment horizontal="right"/>
    </xf>
    <xf numFmtId="3" fontId="20" fillId="0" borderId="0" xfId="0" applyNumberFormat="1" applyFont="1" applyAlignment="1">
      <alignment horizontal="center"/>
    </xf>
    <xf numFmtId="167" fontId="2" fillId="3" borderId="45" xfId="6" applyNumberFormat="1" applyFont="1" applyFill="1" applyBorder="1"/>
    <xf numFmtId="0" fontId="2" fillId="0" borderId="46" xfId="0" applyFont="1" applyBorder="1"/>
    <xf numFmtId="3" fontId="2" fillId="0" borderId="0" xfId="0" applyNumberFormat="1" applyFont="1"/>
    <xf numFmtId="3" fontId="0" fillId="0" borderId="0" xfId="2" applyNumberFormat="1" applyFont="1" applyAlignment="1">
      <alignment horizontal="right"/>
    </xf>
    <xf numFmtId="3" fontId="0" fillId="0" borderId="9" xfId="2" applyNumberFormat="1" applyFont="1" applyBorder="1" applyAlignment="1">
      <alignment horizontal="right"/>
    </xf>
    <xf numFmtId="0" fontId="0" fillId="8" borderId="0" xfId="0" applyFill="1"/>
    <xf numFmtId="3" fontId="2" fillId="0" borderId="1" xfId="0" applyNumberFormat="1" applyFont="1" applyBorder="1"/>
    <xf numFmtId="3" fontId="0" fillId="0" borderId="1" xfId="2" applyNumberFormat="1" applyFont="1" applyBorder="1" applyAlignment="1">
      <alignment horizontal="right"/>
    </xf>
    <xf numFmtId="3" fontId="0" fillId="0" borderId="20" xfId="2" applyNumberFormat="1" applyFont="1" applyBorder="1" applyAlignment="1">
      <alignment horizontal="right"/>
    </xf>
    <xf numFmtId="3" fontId="0" fillId="0" borderId="0" xfId="3" applyNumberFormat="1" applyFont="1"/>
    <xf numFmtId="3" fontId="2" fillId="0" borderId="16" xfId="0" applyNumberFormat="1" applyFont="1" applyBorder="1"/>
    <xf numFmtId="3" fontId="0" fillId="0" borderId="16" xfId="2" applyNumberFormat="1" applyFont="1" applyBorder="1" applyAlignment="1">
      <alignment horizontal="right"/>
    </xf>
    <xf numFmtId="3" fontId="0" fillId="0" borderId="17" xfId="2" applyNumberFormat="1" applyFont="1" applyBorder="1" applyAlignment="1">
      <alignment horizontal="right"/>
    </xf>
    <xf numFmtId="167" fontId="0" fillId="0" borderId="16" xfId="6" applyNumberFormat="1" applyFont="1" applyBorder="1"/>
    <xf numFmtId="167" fontId="2" fillId="3" borderId="47" xfId="6" applyNumberFormat="1" applyFont="1" applyFill="1" applyBorder="1"/>
    <xf numFmtId="0" fontId="2" fillId="6" borderId="48" xfId="0" applyFont="1" applyFill="1" applyBorder="1" applyAlignment="1">
      <alignment horizontal="center"/>
    </xf>
    <xf numFmtId="167" fontId="2" fillId="6" borderId="39" xfId="6" applyNumberFormat="1" applyFont="1" applyFill="1" applyBorder="1" applyAlignment="1">
      <alignment horizontal="center"/>
    </xf>
    <xf numFmtId="167" fontId="2" fillId="6" borderId="40" xfId="6" applyNumberFormat="1" applyFont="1" applyFill="1" applyBorder="1" applyAlignment="1">
      <alignment horizontal="center"/>
    </xf>
    <xf numFmtId="167" fontId="0" fillId="0" borderId="49" xfId="6" applyNumberFormat="1" applyFont="1" applyBorder="1"/>
    <xf numFmtId="167" fontId="2" fillId="3" borderId="50" xfId="6" applyNumberFormat="1" applyFont="1" applyFill="1" applyBorder="1"/>
    <xf numFmtId="167" fontId="2" fillId="3" borderId="9" xfId="6" applyNumberFormat="1" applyFont="1" applyFill="1" applyBorder="1"/>
    <xf numFmtId="0" fontId="2" fillId="0" borderId="51" xfId="0" applyFont="1" applyBorder="1"/>
    <xf numFmtId="167" fontId="0" fillId="0" borderId="52" xfId="6" applyNumberFormat="1" applyFont="1" applyBorder="1"/>
    <xf numFmtId="167" fontId="2" fillId="3" borderId="53" xfId="6" applyNumberFormat="1" applyFont="1" applyFill="1" applyBorder="1"/>
    <xf numFmtId="0" fontId="16" fillId="0" borderId="0" xfId="0" applyFont="1" applyAlignment="1">
      <alignment horizontal="right"/>
    </xf>
    <xf numFmtId="167" fontId="0" fillId="0" borderId="0" xfId="0" applyNumberFormat="1"/>
    <xf numFmtId="0" fontId="2" fillId="9" borderId="0" xfId="0" applyFont="1" applyFill="1"/>
    <xf numFmtId="0" fontId="4" fillId="5" borderId="0" xfId="0" applyFont="1" applyFill="1" applyAlignment="1">
      <alignment vertical="center" wrapText="1"/>
    </xf>
    <xf numFmtId="0" fontId="18" fillId="0" borderId="0" xfId="0" applyFont="1"/>
    <xf numFmtId="0" fontId="21" fillId="0" borderId="0" xfId="0" applyFont="1"/>
    <xf numFmtId="0" fontId="4" fillId="2" borderId="31" xfId="0" applyFont="1" applyFill="1" applyBorder="1" applyAlignment="1">
      <alignment horizontal="center" vertical="center" wrapText="1"/>
    </xf>
    <xf numFmtId="0" fontId="0" fillId="0" borderId="32" xfId="0" applyBorder="1"/>
    <xf numFmtId="0" fontId="4" fillId="2" borderId="21" xfId="0" applyFont="1" applyFill="1" applyBorder="1" applyAlignment="1">
      <alignment horizontal="center" vertical="center" wrapText="1"/>
    </xf>
    <xf numFmtId="0" fontId="0" fillId="0" borderId="14" xfId="0" applyBorder="1"/>
    <xf numFmtId="0" fontId="3" fillId="2" borderId="18" xfId="0" applyFont="1" applyFill="1" applyBorder="1" applyAlignment="1">
      <alignment horizontal="center"/>
    </xf>
    <xf numFmtId="0" fontId="0" fillId="0" borderId="6" xfId="0" applyBorder="1"/>
    <xf numFmtId="0" fontId="0" fillId="0" borderId="7" xfId="0" applyBorder="1"/>
    <xf numFmtId="0" fontId="3" fillId="2" borderId="23" xfId="0" applyFont="1" applyFill="1" applyBorder="1" applyAlignment="1">
      <alignment horizontal="center"/>
    </xf>
    <xf numFmtId="0" fontId="0" fillId="0" borderId="24" xfId="0" applyBorder="1"/>
    <xf numFmtId="0" fontId="0" fillId="0" borderId="37" xfId="0" applyBorder="1"/>
    <xf numFmtId="0" fontId="17" fillId="0" borderId="0" xfId="0" applyFont="1" applyAlignment="1">
      <alignment horizontal="center"/>
    </xf>
    <xf numFmtId="0" fontId="3" fillId="2" borderId="38" xfId="0" applyFont="1" applyFill="1" applyBorder="1" applyAlignment="1">
      <alignment horizontal="center"/>
    </xf>
    <xf numFmtId="0" fontId="0" fillId="0" borderId="39" xfId="0" applyBorder="1"/>
    <xf numFmtId="0" fontId="0" fillId="0" borderId="40" xfId="0" applyBorder="1"/>
  </cellXfs>
  <cellStyles count="7">
    <cellStyle name="Comma" xfId="6" builtinId="3"/>
    <cellStyle name="Comma 2" xfId="2" xr:uid="{00000000-0005-0000-0000-000002000000}"/>
    <cellStyle name="Currency" xfId="4" builtinId="4"/>
    <cellStyle name="Currency 2" xfId="1" xr:uid="{00000000-0005-0000-0000-000001000000}"/>
    <cellStyle name="Hyperlink" xfId="5" builtinId="8"/>
    <cellStyle name="Normal" xfId="0" builtinId="0"/>
    <cellStyle name="Percent 2" xfId="3" xr:uid="{00000000-0005-0000-0000-000003000000}"/>
  </cellStyles>
  <dxfs count="0"/>
  <tableStyles count="0" defaultTableStyle="TableStyleMedium2" defaultPivotStyle="PivotStyleLight16"/>
  <colors>
    <mruColors>
      <color rgb="FF00FFE7"/>
      <color rgb="FF00FDFF"/>
      <color rgb="FF00FFD4"/>
      <color rgb="FF46BE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strike="noStrike" kern="1200" spc="0" baseline="0">
                <a:solidFill>
                  <a:schemeClr val="tx1">
                    <a:lumMod val="65000"/>
                    <a:lumOff val="35000"/>
                  </a:schemeClr>
                </a:solidFill>
                <a:latin typeface="+mn-lt"/>
                <a:ea typeface="+mn-ea"/>
                <a:cs typeface="+mn-cs"/>
              </a:defRPr>
            </a:pPr>
            <a:r>
              <a:rPr lang="en-US" sz="2000" b="1"/>
              <a:t>Delta Between Periods</a:t>
            </a:r>
          </a:p>
        </c:rich>
      </c:tx>
      <c:overlay val="0"/>
      <c:spPr>
        <a:noFill/>
        <a:ln>
          <a:noFill/>
          <a:prstDash val="solid"/>
        </a:ln>
      </c:spPr>
    </c:title>
    <c:autoTitleDeleted val="0"/>
    <c:plotArea>
      <c:layout>
        <c:manualLayout>
          <c:layoutTarget val="inner"/>
          <c:xMode val="edge"/>
          <c:yMode val="edge"/>
          <c:x val="0.29089285776081336"/>
          <c:y val="0.40967533063420408"/>
          <c:w val="0.70910714223918669"/>
          <c:h val="0.54672587904321523"/>
        </c:manualLayout>
      </c:layout>
      <c:barChart>
        <c:barDir val="col"/>
        <c:grouping val="stacked"/>
        <c:varyColors val="0"/>
        <c:ser>
          <c:idx val="0"/>
          <c:order val="0"/>
          <c:spPr>
            <a:solidFill>
              <a:schemeClr val="accent1"/>
            </a:solidFill>
            <a:ln>
              <a:noFill/>
              <a:prstDash val="solid"/>
            </a:ln>
          </c:spPr>
          <c:invertIfNegative val="0"/>
          <c:dPt>
            <c:idx val="0"/>
            <c:invertIfNegative val="0"/>
            <c:bubble3D val="0"/>
            <c:spPr>
              <a:solidFill>
                <a:srgbClr val="008281"/>
              </a:solidFill>
              <a:ln>
                <a:noFill/>
                <a:prstDash val="solid"/>
              </a:ln>
            </c:spPr>
            <c:extLst>
              <c:ext xmlns:c16="http://schemas.microsoft.com/office/drawing/2014/chart" uri="{C3380CC4-5D6E-409C-BE32-E72D297353CC}">
                <c16:uniqueId val="{00000001-A575-4844-8D37-7C8A882B338E}"/>
              </c:ext>
            </c:extLst>
          </c:dPt>
          <c:dPt>
            <c:idx val="1"/>
            <c:invertIfNegative val="0"/>
            <c:bubble3D val="0"/>
            <c:spPr>
              <a:noFill/>
              <a:ln>
                <a:noFill/>
                <a:prstDash val="solid"/>
              </a:ln>
            </c:spPr>
            <c:extLst>
              <c:ext xmlns:c16="http://schemas.microsoft.com/office/drawing/2014/chart" uri="{C3380CC4-5D6E-409C-BE32-E72D297353CC}">
                <c16:uniqueId val="{00000003-A575-4844-8D37-7C8A882B338E}"/>
              </c:ext>
            </c:extLst>
          </c:dPt>
          <c:dPt>
            <c:idx val="2"/>
            <c:invertIfNegative val="0"/>
            <c:bubble3D val="0"/>
            <c:spPr>
              <a:noFill/>
              <a:ln>
                <a:noFill/>
                <a:prstDash val="solid"/>
              </a:ln>
            </c:spPr>
            <c:extLst>
              <c:ext xmlns:c16="http://schemas.microsoft.com/office/drawing/2014/chart" uri="{C3380CC4-5D6E-409C-BE32-E72D297353CC}">
                <c16:uniqueId val="{00000005-A575-4844-8D37-7C8A882B338E}"/>
              </c:ext>
            </c:extLst>
          </c:dPt>
          <c:dPt>
            <c:idx val="3"/>
            <c:invertIfNegative val="0"/>
            <c:bubble3D val="0"/>
            <c:spPr>
              <a:noFill/>
              <a:ln>
                <a:noFill/>
                <a:prstDash val="solid"/>
              </a:ln>
            </c:spPr>
            <c:extLst>
              <c:ext xmlns:c16="http://schemas.microsoft.com/office/drawing/2014/chart" uri="{C3380CC4-5D6E-409C-BE32-E72D297353CC}">
                <c16:uniqueId val="{00000007-A575-4844-8D37-7C8A882B338E}"/>
              </c:ext>
            </c:extLst>
          </c:dPt>
          <c:dPt>
            <c:idx val="4"/>
            <c:invertIfNegative val="0"/>
            <c:bubble3D val="0"/>
            <c:spPr>
              <a:solidFill>
                <a:srgbClr val="008281"/>
              </a:solidFill>
              <a:ln>
                <a:noFill/>
                <a:prstDash val="solid"/>
              </a:ln>
            </c:spPr>
            <c:extLst>
              <c:ext xmlns:c16="http://schemas.microsoft.com/office/drawing/2014/chart" uri="{C3380CC4-5D6E-409C-BE32-E72D297353CC}">
                <c16:uniqueId val="{00000009-A575-4844-8D37-7C8A882B338E}"/>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575-4844-8D37-7C8A882B338E}"/>
                </c:ext>
              </c:extLst>
            </c:dLbl>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575-4844-8D37-7C8A882B338E}"/>
                </c:ext>
              </c:extLst>
            </c:dLbl>
            <c:spPr>
              <a:noFill/>
              <a:ln>
                <a:noFill/>
                <a:prstDash val="solid"/>
              </a:ln>
            </c:spPr>
            <c:txPr>
              <a:bodyPr rot="0" spcFirstLastPara="1" vertOverflow="ellipsis" vert="horz" wrap="square" lIns="38100" tIns="19050" rIns="38100" bIns="19050" anchor="ctr" anchorCtr="1">
                <a:spAutoFit/>
              </a:bodyPr>
              <a:lstStyle/>
              <a:p>
                <a:pPr>
                  <a:defRPr sz="1400" b="1" i="0" strike="noStrike" kern="1200" baseline="0">
                    <a:solidFill>
                      <a:schemeClr val="bg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'Insight-1'!$B$5:$B$9</c:f>
              <c:strCache>
                <c:ptCount val="5"/>
                <c:pt idx="0">
                  <c:v>2022Q1</c:v>
                </c:pt>
                <c:pt idx="1">
                  <c:v>LOST</c:v>
                </c:pt>
                <c:pt idx="2">
                  <c:v>NEW</c:v>
                </c:pt>
                <c:pt idx="3">
                  <c:v>VOLUME</c:v>
                </c:pt>
                <c:pt idx="4">
                  <c:v>2022Q2</c:v>
                </c:pt>
              </c:strCache>
            </c:strRef>
          </c:cat>
          <c:val>
            <c:numRef>
              <c:f>'Insight-1'!$C$5:$C$9</c:f>
              <c:numCache>
                <c:formatCode>_("$"* #,##0.0_)"M";_("$"* \(#,##0.0\)"M";_("$"* "-"??_);_(@_)</c:formatCode>
                <c:ptCount val="5"/>
                <c:pt idx="0">
                  <c:v>0</c:v>
                </c:pt>
                <c:pt idx="1">
                  <c:v>#N/A</c:v>
                </c:pt>
                <c:pt idx="2">
                  <c:v>#N/A</c:v>
                </c:pt>
                <c:pt idx="3">
                  <c:v>#N/A</c:v>
                </c:pt>
                <c:pt idx="4">
                  <c:v>#N/A</c:v>
                </c:pt>
              </c:numCache>
            </c:numRef>
          </c:val>
          <c:extLst>
            <c:ext xmlns:c16="http://schemas.microsoft.com/office/drawing/2014/chart" uri="{C3380CC4-5D6E-409C-BE32-E72D297353CC}">
              <c16:uniqueId val="{0000000A-A575-4844-8D37-7C8A882B338E}"/>
            </c:ext>
          </c:extLst>
        </c:ser>
        <c:ser>
          <c:idx val="1"/>
          <c:order val="1"/>
          <c:spPr>
            <a:solidFill>
              <a:srgbClr val="C00000"/>
            </a:solidFill>
            <a:ln>
              <a:noFill/>
              <a:prstDash val="solid"/>
            </a:ln>
          </c:spPr>
          <c:invertIfNegative val="0"/>
          <c:dLbls>
            <c:spPr>
              <a:noFill/>
              <a:ln>
                <a:noFill/>
                <a:prstDash val="solid"/>
              </a:ln>
            </c:spPr>
            <c:txPr>
              <a:bodyPr rot="0" spcFirstLastPara="1" vertOverflow="ellipsis" vert="horz" wrap="square" lIns="38100" tIns="19050" rIns="38100" bIns="19050" anchor="ctr" anchorCtr="1">
                <a:spAutoFit/>
              </a:bodyPr>
              <a:lstStyle/>
              <a:p>
                <a:pPr>
                  <a:defRPr sz="1400" b="1" i="0"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'Insight-1'!$B$5:$B$9</c:f>
              <c:strCache>
                <c:ptCount val="5"/>
                <c:pt idx="0">
                  <c:v>2022Q1</c:v>
                </c:pt>
                <c:pt idx="1">
                  <c:v>LOST</c:v>
                </c:pt>
                <c:pt idx="2">
                  <c:v>NEW</c:v>
                </c:pt>
                <c:pt idx="3">
                  <c:v>VOLUME</c:v>
                </c:pt>
                <c:pt idx="4">
                  <c:v>2022Q2</c:v>
                </c:pt>
              </c:strCache>
            </c:strRef>
          </c:cat>
          <c:val>
            <c:numRef>
              <c:f>'Insight-1'!$D$5:$D$9</c:f>
              <c:numCache>
                <c:formatCode>_("$"* #,##0.0_)"M";_("$"* \(#,##0.0\)"M";_("$"* "-"??_);_(@_)</c:formatCode>
                <c:ptCount val="5"/>
                <c:pt idx="1">
                  <c:v>#N/A</c:v>
                </c:pt>
              </c:numCache>
            </c:numRef>
          </c:val>
          <c:extLst>
            <c:ext xmlns:c16="http://schemas.microsoft.com/office/drawing/2014/chart" uri="{C3380CC4-5D6E-409C-BE32-E72D297353CC}">
              <c16:uniqueId val="{0000000B-A575-4844-8D37-7C8A882B338E}"/>
            </c:ext>
          </c:extLst>
        </c:ser>
        <c:ser>
          <c:idx val="2"/>
          <c:order val="2"/>
          <c:spPr>
            <a:solidFill>
              <a:schemeClr val="accent3"/>
            </a:solidFill>
            <a:ln>
              <a:noFill/>
              <a:prstDash val="solid"/>
            </a:ln>
          </c:spPr>
          <c:invertIfNegative val="0"/>
          <c:dPt>
            <c:idx val="2"/>
            <c:invertIfNegative val="0"/>
            <c:bubble3D val="0"/>
            <c:spPr>
              <a:solidFill>
                <a:srgbClr val="51E4DA"/>
              </a:solidFill>
              <a:ln>
                <a:noFill/>
                <a:prstDash val="solid"/>
              </a:ln>
            </c:spPr>
            <c:extLst>
              <c:ext xmlns:c16="http://schemas.microsoft.com/office/drawing/2014/chart" uri="{C3380CC4-5D6E-409C-BE32-E72D297353CC}">
                <c16:uniqueId val="{0000000D-A575-4844-8D37-7C8A882B338E}"/>
              </c:ext>
            </c:extLst>
          </c:dPt>
          <c:dPt>
            <c:idx val="3"/>
            <c:invertIfNegative val="0"/>
            <c:bubble3D val="0"/>
            <c:spPr>
              <a:solidFill>
                <a:srgbClr val="51E4DA"/>
              </a:solidFill>
              <a:ln>
                <a:noFill/>
                <a:prstDash val="solid"/>
              </a:ln>
            </c:spPr>
            <c:extLst>
              <c:ext xmlns:c16="http://schemas.microsoft.com/office/drawing/2014/chart" uri="{C3380CC4-5D6E-409C-BE32-E72D297353CC}">
                <c16:uniqueId val="{0000000F-A575-4844-8D37-7C8A882B338E}"/>
              </c:ext>
            </c:extLst>
          </c:dPt>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575-4844-8D37-7C8A882B338E}"/>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575-4844-8D37-7C8A882B338E}"/>
                </c:ext>
              </c:extLst>
            </c:dLbl>
            <c:spPr>
              <a:noFill/>
              <a:ln>
                <a:noFill/>
                <a:prstDash val="solid"/>
              </a:ln>
            </c:spPr>
            <c:txPr>
              <a:bodyPr rot="0" spcFirstLastPara="1" vertOverflow="ellipsis" vert="horz" wrap="square" lIns="38100" tIns="19050" rIns="38100" bIns="19050" anchor="ctr" anchorCtr="1">
                <a:spAutoFit/>
              </a:bodyPr>
              <a:lstStyle/>
              <a:p>
                <a:pPr>
                  <a:defRPr sz="1400" b="1" i="0" strike="noStrike" kern="1200" baseline="0">
                    <a:solidFill>
                      <a:srgbClr val="00828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'Insight-1'!$B$5:$B$9</c:f>
              <c:strCache>
                <c:ptCount val="5"/>
                <c:pt idx="0">
                  <c:v>2022Q1</c:v>
                </c:pt>
                <c:pt idx="1">
                  <c:v>LOST</c:v>
                </c:pt>
                <c:pt idx="2">
                  <c:v>NEW</c:v>
                </c:pt>
                <c:pt idx="3">
                  <c:v>VOLUME</c:v>
                </c:pt>
                <c:pt idx="4">
                  <c:v>2022Q2</c:v>
                </c:pt>
              </c:strCache>
            </c:strRef>
          </c:cat>
          <c:val>
            <c:numRef>
              <c:f>'Insight-1'!$E$5:$E$9</c:f>
              <c:numCache>
                <c:formatCode>_("$"* #,##0.0_)"M";_("$"* \(#,##0.0\)"M";_("$"* "-"??_);_(@_)</c:formatCode>
                <c:ptCount val="5"/>
                <c:pt idx="2">
                  <c:v>#N/A</c:v>
                </c:pt>
                <c:pt idx="3">
                  <c:v>#N/A</c:v>
                </c:pt>
              </c:numCache>
            </c:numRef>
          </c:val>
          <c:extLst>
            <c:ext xmlns:c16="http://schemas.microsoft.com/office/drawing/2014/chart" uri="{C3380CC4-5D6E-409C-BE32-E72D297353CC}">
              <c16:uniqueId val="{00000010-A575-4844-8D37-7C8A882B338E}"/>
            </c:ext>
          </c:extLst>
        </c:ser>
        <c:dLbls>
          <c:showLegendKey val="0"/>
          <c:showVal val="0"/>
          <c:showCatName val="0"/>
          <c:showSerName val="0"/>
          <c:showPercent val="0"/>
          <c:showBubbleSize val="0"/>
        </c:dLbls>
        <c:gapWidth val="50"/>
        <c:overlap val="100"/>
        <c:axId val="743956543"/>
        <c:axId val="743611807"/>
      </c:barChart>
      <c:catAx>
        <c:axId val="7439565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1000" b="1" i="0" strike="noStrike" kern="1200" baseline="0">
                <a:solidFill>
                  <a:schemeClr val="tx1">
                    <a:lumMod val="65000"/>
                    <a:lumOff val="35000"/>
                  </a:schemeClr>
                </a:solidFill>
                <a:latin typeface="+mn-lt"/>
                <a:ea typeface="+mn-ea"/>
                <a:cs typeface="+mn-cs"/>
              </a:defRPr>
            </a:pPr>
            <a:endParaRPr lang="en-US"/>
          </a:p>
        </c:txPr>
        <c:crossAx val="743611807"/>
        <c:crosses val="autoZero"/>
        <c:auto val="1"/>
        <c:lblAlgn val="ctr"/>
        <c:lblOffset val="100"/>
        <c:noMultiLvlLbl val="0"/>
      </c:catAx>
      <c:valAx>
        <c:axId val="743611807"/>
        <c:scaling>
          <c:orientation val="minMax"/>
        </c:scaling>
        <c:delete val="0"/>
        <c:axPos val="l"/>
        <c:numFmt formatCode="_(&quot;$&quot;* #,##0.0_)&quot;M&quot;;_(&quot;$&quot;* \(#,##0.0\)&quot;M&quot;;_(&quot;$&quot;* &quot;-&quot;??_);_(@_)" sourceLinked="1"/>
        <c:majorTickMark val="none"/>
        <c:minorTickMark val="none"/>
        <c:tickLblPos val="nextTo"/>
        <c:spPr>
          <a:noFill/>
          <a:ln>
            <a:noFill/>
            <a:prstDash val="solid"/>
          </a:ln>
        </c:spPr>
        <c:txPr>
          <a:bodyPr rot="-60000000" spcFirstLastPara="1" vertOverflow="ellipsis" vert="horz" wrap="square" anchor="ctr" anchorCtr="1"/>
          <a:lstStyle/>
          <a:p>
            <a:pPr>
              <a:defRPr sz="800" b="0" i="1" strike="noStrike" kern="1200" baseline="0">
                <a:solidFill>
                  <a:schemeClr val="tx1">
                    <a:lumMod val="65000"/>
                    <a:lumOff val="35000"/>
                  </a:schemeClr>
                </a:solidFill>
                <a:latin typeface="+mn-lt"/>
                <a:ea typeface="+mn-ea"/>
                <a:cs typeface="+mn-cs"/>
              </a:defRPr>
            </a:pPr>
            <a:endParaRPr lang="en-US"/>
          </a:p>
        </c:txPr>
        <c:crossAx val="743956543"/>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strike="noStrike" kern="1200" spc="0" baseline="0">
                <a:solidFill>
                  <a:schemeClr val="tx1">
                    <a:lumMod val="65000"/>
                    <a:lumOff val="35000"/>
                  </a:schemeClr>
                </a:solidFill>
                <a:latin typeface="+mn-lt"/>
                <a:ea typeface="+mn-ea"/>
                <a:cs typeface="+mn-cs"/>
              </a:defRPr>
            </a:pPr>
            <a:r>
              <a:rPr lang="en-US" sz="1600" b="1"/>
              <a:t>Quarter Averages</a:t>
            </a:r>
          </a:p>
        </c:rich>
      </c:tx>
      <c:overlay val="0"/>
      <c:spPr>
        <a:noFill/>
        <a:ln>
          <a:noFill/>
          <a:prstDash val="solid"/>
        </a:ln>
      </c:spPr>
    </c:title>
    <c:autoTitleDeleted val="0"/>
    <c:plotArea>
      <c:layout/>
      <c:lineChart>
        <c:grouping val="stacked"/>
        <c:varyColors val="0"/>
        <c:ser>
          <c:idx val="0"/>
          <c:order val="0"/>
          <c:tx>
            <c:strRef>
              <c:f>'Insight-2'!$C$1</c:f>
              <c:strCache>
                <c:ptCount val="1"/>
                <c:pt idx="0">
                  <c:v>SPEND</c:v>
                </c:pt>
              </c:strCache>
            </c:strRef>
          </c:tx>
          <c:spPr>
            <a:ln w="38100" cap="rnd">
              <a:solidFill>
                <a:srgbClr val="51E4DA"/>
              </a:solidFill>
              <a:prstDash val="solid"/>
              <a:round/>
            </a:ln>
          </c:spPr>
          <c:marker>
            <c:symbol val="none"/>
          </c:marker>
          <c:cat>
            <c:numRef>
              <c:f>'Insight-2'!$B$2:$B$16</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'Insight-2'!$C$2:$C$16</c:f>
              <c:numCache>
                <c:formatCode>_("$"* #,##0.0_)"M";_("$"* \(#,##0.0\)"M";_("$"*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0-9531-274E-AF40-1E299208A8B5}"/>
            </c:ext>
          </c:extLst>
        </c:ser>
        <c:dLbls>
          <c:showLegendKey val="0"/>
          <c:showVal val="0"/>
          <c:showCatName val="0"/>
          <c:showSerName val="0"/>
          <c:showPercent val="0"/>
          <c:showBubbleSize val="0"/>
        </c:dLbls>
        <c:marker val="1"/>
        <c:smooth val="0"/>
        <c:axId val="180614480"/>
        <c:axId val="180587376"/>
      </c:lineChart>
      <c:lineChart>
        <c:grouping val="stacked"/>
        <c:varyColors val="0"/>
        <c:ser>
          <c:idx val="1"/>
          <c:order val="1"/>
          <c:tx>
            <c:strRef>
              <c:f>'Insight-2'!$D$1</c:f>
              <c:strCache>
                <c:ptCount val="1"/>
                <c:pt idx="0">
                  <c:v>DIVERSE</c:v>
                </c:pt>
              </c:strCache>
            </c:strRef>
          </c:tx>
          <c:spPr>
            <a:ln w="38100" cap="rnd">
              <a:solidFill>
                <a:srgbClr val="008281"/>
              </a:solidFill>
              <a:prstDash val="solid"/>
              <a:round/>
            </a:ln>
          </c:spPr>
          <c:marker>
            <c:symbol val="none"/>
          </c:marker>
          <c:cat>
            <c:numRef>
              <c:f>'Insight-2'!$B$2:$B$16</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'Insight-2'!$D$2:$D$16</c:f>
              <c:numCache>
                <c:formatCode>_("$"* #,##0.0_)"M";_("$"* \(#,##0.0\)"M";_("$"*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9531-274E-AF40-1E299208A8B5}"/>
            </c:ext>
          </c:extLst>
        </c:ser>
        <c:dLbls>
          <c:showLegendKey val="0"/>
          <c:showVal val="0"/>
          <c:showCatName val="0"/>
          <c:showSerName val="0"/>
          <c:showPercent val="0"/>
          <c:showBubbleSize val="0"/>
        </c:dLbls>
        <c:marker val="1"/>
        <c:smooth val="0"/>
        <c:axId val="368125616"/>
        <c:axId val="368123168"/>
      </c:lineChart>
      <c:catAx>
        <c:axId val="180614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1200" b="1" i="0" strike="noStrike" kern="1200" baseline="0">
                <a:solidFill>
                  <a:schemeClr val="tx1">
                    <a:lumMod val="65000"/>
                    <a:lumOff val="35000"/>
                  </a:schemeClr>
                </a:solidFill>
                <a:latin typeface="+mn-lt"/>
                <a:ea typeface="+mn-ea"/>
                <a:cs typeface="+mn-cs"/>
              </a:defRPr>
            </a:pPr>
            <a:endParaRPr lang="en-US"/>
          </a:p>
        </c:txPr>
        <c:crossAx val="180587376"/>
        <c:crosses val="autoZero"/>
        <c:auto val="1"/>
        <c:lblAlgn val="ctr"/>
        <c:lblOffset val="100"/>
        <c:noMultiLvlLbl val="0"/>
      </c:catAx>
      <c:valAx>
        <c:axId val="180587376"/>
        <c:scaling>
          <c:orientation val="minMax"/>
        </c:scaling>
        <c:delete val="0"/>
        <c:axPos val="l"/>
        <c:numFmt formatCode="_(&quot;$&quot;* #,##0.0_)&quot;M&quot;;_(&quot;$&quot;* \(#,##0.0\)&quot;M&quot;;_(&quot;$&quot;* &quot;-&quot;??_);_(@_)" sourceLinked="1"/>
        <c:majorTickMark val="none"/>
        <c:minorTickMark val="none"/>
        <c:tickLblPos val="nextTo"/>
        <c:spPr>
          <a:noFill/>
          <a:ln>
            <a:noFill/>
            <a:prstDash val="solid"/>
          </a:ln>
        </c:spPr>
        <c:txPr>
          <a:bodyPr rot="-60000000" spcFirstLastPara="1" vertOverflow="ellipsis" vert="horz" wrap="square" anchor="ctr" anchorCtr="1"/>
          <a:lstStyle/>
          <a:p>
            <a:pPr>
              <a:defRPr sz="800" b="0" i="1" strike="noStrike" kern="1200" baseline="0">
                <a:solidFill>
                  <a:schemeClr val="tx1">
                    <a:lumMod val="65000"/>
                    <a:lumOff val="35000"/>
                  </a:schemeClr>
                </a:solidFill>
                <a:latin typeface="+mn-lt"/>
                <a:ea typeface="+mn-ea"/>
                <a:cs typeface="+mn-cs"/>
              </a:defRPr>
            </a:pPr>
            <a:endParaRPr lang="en-US"/>
          </a:p>
        </c:txPr>
        <c:crossAx val="180614480"/>
        <c:crosses val="autoZero"/>
        <c:crossBetween val="between"/>
      </c:valAx>
      <c:catAx>
        <c:axId val="368125616"/>
        <c:scaling>
          <c:orientation val="minMax"/>
        </c:scaling>
        <c:delete val="1"/>
        <c:axPos val="b"/>
        <c:numFmt formatCode="General" sourceLinked="1"/>
        <c:majorTickMark val="out"/>
        <c:minorTickMark val="none"/>
        <c:tickLblPos val="nextTo"/>
        <c:crossAx val="368123168"/>
        <c:crosses val="autoZero"/>
        <c:auto val="1"/>
        <c:lblAlgn val="ctr"/>
        <c:lblOffset val="100"/>
        <c:noMultiLvlLbl val="0"/>
      </c:catAx>
      <c:valAx>
        <c:axId val="368123168"/>
        <c:scaling>
          <c:orientation val="minMax"/>
        </c:scaling>
        <c:delete val="0"/>
        <c:axPos val="r"/>
        <c:numFmt formatCode="_(&quot;$&quot;* #,##0.0_)&quot;M&quot;;_(&quot;$&quot;* \(#,##0.0\)&quot;M&quot;;_(&quot;$&quot;* &quot;-&quot;??_);_(@_)" sourceLinked="1"/>
        <c:majorTickMark val="out"/>
        <c:minorTickMark val="none"/>
        <c:tickLblPos val="nextTo"/>
        <c:spPr>
          <a:noFill/>
          <a:ln>
            <a:noFill/>
            <a:prstDash val="solid"/>
          </a:ln>
        </c:spPr>
        <c:txPr>
          <a:bodyPr rot="-60000000" spcFirstLastPara="1" vertOverflow="ellipsis" vert="horz" wrap="square" anchor="ctr" anchorCtr="1"/>
          <a:lstStyle/>
          <a:p>
            <a:pPr>
              <a:defRPr sz="900" b="0" i="0" strike="noStrike" kern="1200" baseline="0">
                <a:solidFill>
                  <a:schemeClr val="tx1">
                    <a:lumMod val="65000"/>
                    <a:lumOff val="35000"/>
                  </a:schemeClr>
                </a:solidFill>
                <a:latin typeface="+mn-lt"/>
                <a:ea typeface="+mn-ea"/>
                <a:cs typeface="+mn-cs"/>
              </a:defRPr>
            </a:pPr>
            <a:endParaRPr lang="en-US"/>
          </a:p>
        </c:txPr>
        <c:crossAx val="368125616"/>
        <c:crosses val="max"/>
        <c:crossBetween val="between"/>
      </c:valAx>
    </c:plotArea>
    <c:legend>
      <c:legendPos val="b"/>
      <c:overlay val="0"/>
      <c:spPr>
        <a:noFill/>
        <a:ln>
          <a:noFill/>
          <a:prstDash val="solid"/>
        </a:ln>
      </c:spPr>
      <c:txPr>
        <a:bodyPr rot="0" spcFirstLastPara="1" vertOverflow="ellipsis" vert="horz" wrap="square" anchor="ctr" anchorCtr="1"/>
        <a:lstStyle/>
        <a:p>
          <a:pPr>
            <a:defRPr sz="1000" b="1" i="0"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6413500" y="977900"/>
    <xdr:ext cx="7081630" cy="4088296"/>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4</xdr:col>
      <xdr:colOff>114300</xdr:colOff>
      <xdr:row>2</xdr:row>
      <xdr:rowOff>0</xdr:rowOff>
    </xdr:from>
    <xdr:to>
      <xdr:col>16</xdr:col>
      <xdr:colOff>317500</xdr:colOff>
      <xdr:row>29</xdr:row>
      <xdr:rowOff>114300</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ovagottesman/Downloads/ReportingPackageTemplate_V0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END SUMMARY"/>
      <sheetName val="VM SUMMARY"/>
      <sheetName val="Certificate List"/>
      <sheetName val="Vendor Master Enrich"/>
      <sheetName val="Insight-1"/>
      <sheetName val="Aggerate"/>
      <sheetName val="Insight-2"/>
      <sheetName val="Sum of Moving Average"/>
    </sheetNames>
    <sheetDataSet>
      <sheetData sheetId="0"/>
      <sheetData sheetId="1"/>
      <sheetData sheetId="2">
        <row r="1">
          <cell r="A1" t="str">
            <v>Title</v>
          </cell>
          <cell r="B1"/>
          <cell r="C1"/>
          <cell r="D1"/>
          <cell r="E1"/>
          <cell r="F1"/>
          <cell r="G1"/>
          <cell r="H1"/>
          <cell r="I1"/>
          <cell r="J1"/>
          <cell r="K1"/>
          <cell r="L1"/>
          <cell r="M1"/>
          <cell r="N1"/>
          <cell r="O1"/>
        </row>
        <row r="2">
          <cell r="A2" t="str">
            <v>Domain</v>
          </cell>
          <cell r="B2" t="str">
            <v>Name</v>
          </cell>
          <cell r="C2" t="str">
            <v>Period</v>
          </cell>
          <cell r="D2" t="str">
            <v>Cust Name</v>
          </cell>
          <cell r="E2" t="str">
            <v>Internal Supplier Id</v>
          </cell>
          <cell r="F2" t="str">
            <v>Total Amount</v>
          </cell>
          <cell r="G2" t="str">
            <v>TB Qualified</v>
          </cell>
          <cell r="H2" t="str">
            <v>Certification</v>
          </cell>
          <cell r="I2" t="str">
            <v>Agency</v>
          </cell>
          <cell r="J2" t="str">
            <v>Cert Name</v>
          </cell>
          <cell r="K2" t="str">
            <v>Source</v>
          </cell>
          <cell r="L2" t="str">
            <v>Cert Alert</v>
          </cell>
          <cell r="M2" t="str">
            <v>Cert Expiry</v>
          </cell>
          <cell r="N2" t="str">
            <v>Ethnicity</v>
          </cell>
        </row>
      </sheetData>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ealbookhelp.zendesk.com/hc/en-us/articles/9474060970644-Standard-report-packag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N73"/>
  <sheetViews>
    <sheetView showGridLines="0" tabSelected="1" topLeftCell="A14" workbookViewId="0">
      <selection activeCell="M34" sqref="M34"/>
    </sheetView>
  </sheetViews>
  <sheetFormatPr baseColWidth="10" defaultRowHeight="16" x14ac:dyDescent="0.2"/>
  <cols>
    <col min="1" max="1" width="7.6640625" bestFit="1" customWidth="1"/>
    <col min="2" max="2" width="44.6640625" bestFit="1" customWidth="1"/>
    <col min="3" max="3" width="20.1640625" customWidth="1"/>
    <col min="4" max="4" width="12.1640625" customWidth="1"/>
    <col min="5" max="5" width="14.5" customWidth="1"/>
    <col min="6" max="6" width="8.5" customWidth="1"/>
    <col min="7" max="7" width="14.5" customWidth="1"/>
    <col min="8" max="8" width="8.5" customWidth="1"/>
    <col min="9" max="9" width="14.5" customWidth="1"/>
    <col min="10" max="10" width="8.5" customWidth="1"/>
    <col min="11" max="11" width="19" customWidth="1"/>
    <col min="12" max="12" width="15" bestFit="1" customWidth="1"/>
    <col min="13" max="13" width="34.83203125" customWidth="1"/>
    <col min="15" max="15" width="11.1640625" bestFit="1" customWidth="1"/>
  </cols>
  <sheetData>
    <row r="2" spans="2:14" ht="21" customHeight="1" x14ac:dyDescent="0.25">
      <c r="B2" s="131" t="s">
        <v>0</v>
      </c>
      <c r="C2" s="132"/>
      <c r="D2" s="132"/>
      <c r="E2" s="132"/>
      <c r="F2" s="132"/>
      <c r="G2" s="132"/>
      <c r="H2" s="132"/>
      <c r="I2" s="132"/>
      <c r="J2" s="132"/>
      <c r="K2" s="132"/>
      <c r="L2" s="133"/>
    </row>
    <row r="3" spans="2:14" x14ac:dyDescent="0.2">
      <c r="B3" s="11" t="s">
        <v>1</v>
      </c>
      <c r="L3" s="12" t="s">
        <v>2</v>
      </c>
    </row>
    <row r="4" spans="2:14" x14ac:dyDescent="0.2">
      <c r="B4" s="11" t="s">
        <v>3</v>
      </c>
      <c r="C4" s="1"/>
      <c r="L4" s="12" t="s">
        <v>4</v>
      </c>
    </row>
    <row r="5" spans="2:14" x14ac:dyDescent="0.2">
      <c r="B5" s="11" t="s">
        <v>5</v>
      </c>
      <c r="K5" s="2"/>
      <c r="L5" s="12" t="s">
        <v>6</v>
      </c>
    </row>
    <row r="6" spans="2:14" x14ac:dyDescent="0.2">
      <c r="B6" s="11" t="s">
        <v>7</v>
      </c>
      <c r="L6" s="31">
        <v>44914</v>
      </c>
    </row>
    <row r="7" spans="2:14" x14ac:dyDescent="0.2">
      <c r="B7" s="13" t="s">
        <v>8</v>
      </c>
      <c r="C7" s="14"/>
      <c r="D7" s="14"/>
      <c r="E7" s="14"/>
      <c r="F7" s="14"/>
      <c r="G7" s="14"/>
      <c r="H7" s="14"/>
      <c r="I7" s="14"/>
      <c r="J7" s="14"/>
      <c r="K7" s="14"/>
      <c r="L7" s="15">
        <v>2764314691.1100101</v>
      </c>
    </row>
    <row r="9" spans="2:14" ht="21" customHeight="1" x14ac:dyDescent="0.25">
      <c r="B9" s="134" t="s">
        <v>9</v>
      </c>
      <c r="C9" s="135"/>
      <c r="D9" s="135"/>
      <c r="E9" s="135"/>
      <c r="F9" s="135"/>
      <c r="G9" s="135"/>
      <c r="H9" s="135"/>
      <c r="I9" s="135"/>
      <c r="J9" s="135"/>
      <c r="K9" s="135"/>
      <c r="L9" s="136"/>
    </row>
    <row r="10" spans="2:14" ht="17" customHeight="1" x14ac:dyDescent="0.2">
      <c r="B10" s="34" t="s">
        <v>160</v>
      </c>
      <c r="L10" s="35">
        <v>2022</v>
      </c>
      <c r="M10" s="7" t="s">
        <v>161</v>
      </c>
    </row>
    <row r="11" spans="2:14" ht="17" customHeight="1" x14ac:dyDescent="0.2">
      <c r="B11" s="34" t="s">
        <v>10</v>
      </c>
      <c r="L11" s="60" t="s">
        <v>13</v>
      </c>
      <c r="M11" s="7" t="s">
        <v>11</v>
      </c>
    </row>
    <row r="12" spans="2:14" ht="17" customHeight="1" x14ac:dyDescent="0.2">
      <c r="B12" s="36" t="s">
        <v>12</v>
      </c>
      <c r="C12" s="32"/>
      <c r="D12" s="33"/>
      <c r="E12" s="33"/>
      <c r="F12" s="33"/>
      <c r="G12" s="33"/>
      <c r="H12" s="33"/>
      <c r="I12" s="33"/>
      <c r="J12" s="33"/>
      <c r="K12" s="33"/>
      <c r="L12" s="37" t="s">
        <v>106</v>
      </c>
      <c r="M12" s="7" t="s">
        <v>14</v>
      </c>
    </row>
    <row r="14" spans="2:14" ht="68" customHeight="1" x14ac:dyDescent="0.2">
      <c r="B14" s="16" t="s">
        <v>15</v>
      </c>
      <c r="C14" s="129" t="s">
        <v>16</v>
      </c>
      <c r="D14" s="130"/>
      <c r="E14" s="129" t="s">
        <v>17</v>
      </c>
      <c r="F14" s="130"/>
      <c r="G14" s="129" t="s">
        <v>18</v>
      </c>
      <c r="H14" s="130"/>
      <c r="I14" s="129" t="s">
        <v>19</v>
      </c>
      <c r="J14" s="130"/>
      <c r="K14" s="129" t="s">
        <v>20</v>
      </c>
      <c r="L14" s="130"/>
      <c r="M14" s="57" t="s">
        <v>162</v>
      </c>
      <c r="N14" s="55"/>
    </row>
    <row r="15" spans="2:14" x14ac:dyDescent="0.2">
      <c r="B15" s="17" t="s">
        <v>8</v>
      </c>
      <c r="C15" s="18">
        <f>IF(L11="All",SUMIFS('Vendor Master Enrich'!$C:$C,'Vendor Master Enrich'!$B:$B,$L$10&amp;C$14),SUMIFS('Vendor Master Enrich'!C:C,'Vendor Master Enrich'!J:J,"United States",'Vendor Master Enrich'!B:B,$L$10&amp;C$14))</f>
        <v>0</v>
      </c>
      <c r="D15" s="19"/>
      <c r="E15" s="18">
        <f>IF(L11="All",SUMIFS('Vendor Master Enrich'!$C:$C,'Vendor Master Enrich'!$B:$B,$L$10&amp;E$14),SUMIFS('Vendor Master Enrich'!C:C,'Vendor Master Enrich'!J:J,"United States",'Vendor Master Enrich'!B:B,$L$10&amp;E$14))</f>
        <v>0</v>
      </c>
      <c r="F15" s="19"/>
      <c r="G15" s="18">
        <f>IF(L11="All",SUMIFS('Vendor Master Enrich'!$C:$C,'Vendor Master Enrich'!$B:$B,$L$10&amp;G$14),SUMIFS('Vendor Master Enrich'!C:C,'Vendor Master Enrich'!J:J,"United States",'Vendor Master Enrich'!B:B,$L$10&amp;G$14))</f>
        <v>0</v>
      </c>
      <c r="H15" s="19"/>
      <c r="I15" s="18">
        <f>IF(L11="All",SUMIFS('Vendor Master Enrich'!$C:$C,'Vendor Master Enrich'!$B:$B,$L$10&amp;I$14),SUMIFS('Vendor Master Enrich'!C:C,'Vendor Master Enrich'!J:J,"United States",'Vendor Master Enrich'!B:B,$L$10&amp;I$14))</f>
        <v>0</v>
      </c>
      <c r="J15" s="26"/>
      <c r="K15" s="18">
        <f>I15+G15+E15+C15</f>
        <v>0</v>
      </c>
      <c r="L15" s="38"/>
    </row>
    <row r="16" spans="2:14" x14ac:dyDescent="0.2">
      <c r="B16" s="17" t="s">
        <v>21</v>
      </c>
      <c r="C16" s="18" t="e">
        <f>IF(L11="U.S.", SUMIFS('Vendor Master Enrich'!$C:$C,'Vendor Master Enrich'!$B:$B,$L$10&amp;C$14,'Vendor Master Enrich'!J:J,"United States",INDEX('Vendor Master Enrich'!$A:$ZZ,,MATCH("Found",'Vendor Master Enrich'!$A$1:$ZZ$1,0)),"Found"),SUMIFS('Vendor Master Enrich'!$C:$C,'Vendor Master Enrich'!$B:$B,$L$10&amp;C$14,INDEX('Vendor Master Enrich'!$A:$ZZ,,MATCH("Found",'Vendor Master Enrich'!$A$1:$ZZ$1,0)),"Found"))</f>
        <v>#N/A</v>
      </c>
      <c r="D16" s="26" t="e">
        <f>C16/C15</f>
        <v>#N/A</v>
      </c>
      <c r="E16" s="18" t="e">
        <f>IF(L11="U.S.", SUMIFS('Vendor Master Enrich'!$C:$C,'Vendor Master Enrich'!$B:$B,'Vendor Master Enrich'!$L$10&amp;E$14,'Vendor Master Enrich'!J:J,"United States",INDEX('Vendor Master Enrich'!$A:$ZZ,,MATCH("Found",'Vendor Master Enrich'!$A$1:$ZZ$1,0)),"Found"),SUMIFS('Vendor Master Enrich'!$C:$C,'Vendor Master Enrich'!$B:$B,$L$10&amp;E$14,INDEX('Vendor Master Enrich'!$A:$ZZ,,MATCH("Found",'Vendor Master Enrich'!$A$1:$ZZ$1,0)),"Found"))</f>
        <v>#N/A</v>
      </c>
      <c r="F16" s="26" t="e">
        <f>E16/E15</f>
        <v>#N/A</v>
      </c>
      <c r="G16" s="18" t="e">
        <f>IF(L11="U.S.", SUMIFS('Vendor Master Enrich'!$C:$C,'Vendor Master Enrich'!$B:$B,$L$10&amp;G$14,'Vendor Master Enrich'!J:J,"United States",INDEX('Vendor Master Enrich'!$A:$ZZ,,MATCH("Found",'Vendor Master Enrich'!$A$1:$ZZ$1,0)),"Found"),SUMIFS('Vendor Master Enrich'!$C:$C,'Vendor Master Enrich'!$B:$B,$L$10&amp;G$14,INDEX('Vendor Master Enrich'!$A:$ZZ,,MATCH("Found",'Vendor Master Enrich'!$A$1:$ZZ$1,0)),"Found"))</f>
        <v>#N/A</v>
      </c>
      <c r="H16" s="26" t="e">
        <f>G16/G15</f>
        <v>#N/A</v>
      </c>
      <c r="I16" s="18" t="e">
        <f>IF(L11="U.S.", SUMIFS('Vendor Master Enrich'!$C:$C,'Vendor Master Enrich'!$B:$B,$L$10&amp;I$14,'Vendor Master Enrich'!J:J,"United States",INDEX('Vendor Master Enrich'!$A:$ZZ,,MATCH("Found",'Vendor Master Enrich'!$A$1:$ZZ$1,0)),"Found"),SUMIFS('Vendor Master Enrich'!$C:$C,'Vendor Master Enrich'!$B:$B,$L$10&amp;I$14,INDEX('Vendor Master Enrich'!$A:$ZZ,,MATCH("Found",'Vendor Master Enrich'!$A$1:$ZZ$1,0)),"Found"))</f>
        <v>#N/A</v>
      </c>
      <c r="J16" s="26" t="e">
        <f>I16/I15</f>
        <v>#N/A</v>
      </c>
      <c r="K16" s="18" t="e">
        <f>I16+G16+E16+C16</f>
        <v>#N/A</v>
      </c>
      <c r="L16" s="38" t="e">
        <f>K16/K15</f>
        <v>#N/A</v>
      </c>
    </row>
    <row r="17" spans="1:14" x14ac:dyDescent="0.2">
      <c r="B17" s="17" t="str">
        <f>_xlfn.CONCAT("Total Spend of ",L12, " Diverse ($)")</f>
        <v>Total Spend of Qualified Diverse ($)</v>
      </c>
      <c r="C17" s="18">
        <f>IF(L11="All",SUMIFS((IF($L$12="All",'Vendor Master Enrich'!$F:$F,IF($L$12="Qualified",'Vendor Master Enrich'!$D:$D,'Vendor Master Enrich'!E:E))),'Vendor Master Enrich'!$B:$B,$L$10&amp;C$14),SUMIFS((IF($L$12="All",'Vendor Master Enrich'!$F:$F,IF($L$12="Qualified",'Vendor Master Enrich'!$D:$D,'Vendor Master Enrich'!E:E))),'Vendor Master Enrich'!$B:$B,$L$10&amp;C$14,'Vendor Master Enrich'!J:J,"United States"))</f>
        <v>0</v>
      </c>
      <c r="D17" s="26" t="e">
        <f>C17/C15</f>
        <v>#DIV/0!</v>
      </c>
      <c r="E17" s="18">
        <f>IF(L11="All",SUMIFS((IF($L$12="All",'Vendor Master Enrich'!$F:$F,IF($L$12="Qualified",'Vendor Master Enrich'!$D:$D,'Vendor Master Enrich'!E:E))),'Vendor Master Enrich'!$B:$B,$L$10&amp;E$14),SUMIFS((IF($L$12="All",'Vendor Master Enrich'!$F:$F,IF($L$12="Qualified",'Vendor Master Enrich'!$D:$D,'Vendor Master Enrich'!E:E))),'Vendor Master Enrich'!$B:$B,$L$10&amp;E$14,'Vendor Master Enrich'!J:J,"United States"))</f>
        <v>0</v>
      </c>
      <c r="F17" s="26" t="e">
        <f>E17/E15</f>
        <v>#DIV/0!</v>
      </c>
      <c r="G17" s="18">
        <f>IF(L11="All",SUMIFS((IF($L$12="All",'Vendor Master Enrich'!$F:$F,IF($L$12="Qualified",'Vendor Master Enrich'!$D:$D,'Vendor Master Enrich'!E:E))),'Vendor Master Enrich'!$B:$B,$L$10&amp;G$14),SUMIFS((IF($L$12="All",'Vendor Master Enrich'!$F:$F,IF($L$12="Qualified",'Vendor Master Enrich'!$D:$D,'Vendor Master Enrich'!E:E))),'Vendor Master Enrich'!$B:$B,$L$10&amp;G$14,'Vendor Master Enrich'!J:J,"United States"))</f>
        <v>0</v>
      </c>
      <c r="H17" s="26" t="e">
        <f>G17/G15</f>
        <v>#DIV/0!</v>
      </c>
      <c r="I17" s="18">
        <f>IF(L11="All",SUMIFS((IF($L$12="All",'Vendor Master Enrich'!$F:$F,IF($L$12="Qualified",'Vendor Master Enrich'!$D:$D,'Vendor Master Enrich'!E:E))),'Vendor Master Enrich'!$B:$B,$L$10&amp;I$14),SUMIFS((IF($L$12="All",'Vendor Master Enrich'!$F:$F,IF($L$12="Qualified",'Vendor Master Enrich'!$D:$D,'Vendor Master Enrich'!E:E))),'Vendor Master Enrich'!$B:$B,$L$10&amp;I$14,'Vendor Master Enrich'!J:J,"United States"))</f>
        <v>0</v>
      </c>
      <c r="J17" s="26" t="e">
        <f>I17/I15</f>
        <v>#DIV/0!</v>
      </c>
      <c r="K17" s="18">
        <f>I17+G17+E17+C17</f>
        <v>0</v>
      </c>
      <c r="L17" s="38" t="e">
        <f>K17/K15</f>
        <v>#DIV/0!</v>
      </c>
    </row>
    <row r="18" spans="1:14" ht="15" customHeight="1" x14ac:dyDescent="0.2">
      <c r="B18" s="20"/>
      <c r="C18" s="5"/>
      <c r="D18" s="5"/>
      <c r="E18" s="5"/>
      <c r="F18" s="5"/>
      <c r="G18" s="5"/>
      <c r="H18" s="5"/>
      <c r="I18" s="5"/>
      <c r="J18" s="5"/>
      <c r="K18" s="5"/>
      <c r="L18" s="39"/>
    </row>
    <row r="19" spans="1:14" ht="16" customHeight="1" x14ac:dyDescent="0.2">
      <c r="B19" s="17" t="s">
        <v>22</v>
      </c>
      <c r="C19" s="4">
        <f>IF(L11="All",COUNTIFS('Vendor Master Enrich'!$B:$B,$L$10&amp;C$14),COUNTIFS('Vendor Master Enrich'!$B:$B,$L$10&amp;C$14,'Vendor Master Enrich'!J:J,"United States"))</f>
        <v>0</v>
      </c>
      <c r="D19" s="19"/>
      <c r="E19" s="4">
        <f>IF(L11="All",COUNTIFS('Vendor Master Enrich'!$B:$B,$L$10&amp;E$14),COUNTIFS('Vendor Master Enrich'!$B:$B,$L$10&amp;E$14,'Vendor Master Enrich'!J:J,"United States"))</f>
        <v>0</v>
      </c>
      <c r="F19" s="19"/>
      <c r="G19" s="4">
        <f>IF(L11="All",COUNTIFS('Vendor Master Enrich'!$B:$B,$L$10&amp;G$14),COUNTIFS('Vendor Master Enrich'!$B:$B,$L$10&amp;G$14,'Vendor Master Enrich'!J:J,"United States"))</f>
        <v>0</v>
      </c>
      <c r="H19" s="19"/>
      <c r="I19" s="4">
        <f>IF(L11="All",COUNTIFS('Vendor Master Enrich'!$B:$B,$L$10&amp;I$14),COUNTIFS('Vendor Master Enrich'!$B:$B,$L$10&amp;I$14,'Vendor Master Enrich'!J:J,"United States"))</f>
        <v>0</v>
      </c>
      <c r="J19" s="19"/>
      <c r="N19" s="55"/>
    </row>
    <row r="20" spans="1:14" x14ac:dyDescent="0.2">
      <c r="B20" s="17" t="s">
        <v>23</v>
      </c>
      <c r="C20" s="4" t="e">
        <f>IF($L$11="All",COUNTIFS('Vendor Master Enrich'!$B:$B,$L$10&amp;C$14,INDEX('Vendor Master Enrich'!$A:$ZZ,,MATCH("Found",'Vendor Master Enrich'!$A$1:$ZZ$1,0)),"Found"),COUNTIFS('Vendor Master Enrich'!$B:$B,$L$10&amp;C$14,'Vendor Master Enrich'!J:J,"United States",INDEX('Vendor Master Enrich'!$A:$ZZ,,MATCH("Found",'Vendor Master Enrich'!$A$1:$ZZ$1,0)),"Found"))</f>
        <v>#N/A</v>
      </c>
      <c r="D20" s="19"/>
      <c r="E20" s="4" t="e">
        <f>IF($L$11="All",COUNTIFS('Vendor Master Enrich'!$B:$B,$L$10&amp;E$14,INDEX('Vendor Master Enrich'!$A:$ZZ,,MATCH("Found",'Vendor Master Enrich'!$A$1:$ZZ$1,0)),"Found"),COUNTIFS('Vendor Master Enrich'!$B:$B,$L$10&amp;E$14,'Vendor Master Enrich'!L:L,"United States",INDEX('Vendor Master Enrich'!$A:$ZZ,,MATCH("Found",'Vendor Master Enrich'!$A$1:$ZZ$1,0)),"Found"))</f>
        <v>#N/A</v>
      </c>
      <c r="F20" s="19"/>
      <c r="G20" s="4" t="e">
        <f>IF($L$11="All",COUNTIFS('Vendor Master Enrich'!$B:$B,$L$10&amp;G$14,INDEX('Vendor Master Enrich'!$A:$ZZ,,MATCH("Found",'Vendor Master Enrich'!$A$1:$ZZ$1,0)),"Found"),COUNTIFS('Vendor Master Enrich'!$B:$B,$L$10&amp;G$14,'Vendor Master Enrich'!N:N,"United States",INDEX('Vendor Master Enrich'!$A:$ZZ,,MATCH("Found",'Vendor Master Enrich'!$A$1:$ZZ$1,0)),"Found"))</f>
        <v>#N/A</v>
      </c>
      <c r="H20" s="19"/>
      <c r="I20" s="4" t="e">
        <f>IF($L$11="All",COUNTIFS('Vendor Master Enrich'!$B:$B,$L$10&amp;I$14,INDEX('Vendor Master Enrich'!$A:$ZZ,,MATCH("Found",'Vendor Master Enrich'!$A$1:$ZZ$1,0)),"Found"),COUNTIFS('Vendor Master Enrich'!$B:$B,$L$10&amp;I$14,'Vendor Master Enrich'!P:P,"United States",INDEX('Vendor Master Enrich'!$A:$ZZ,,MATCH("Found",'Vendor Master Enrich'!$A$1:$ZZ$1,0)),"Found"))</f>
        <v>#N/A</v>
      </c>
      <c r="J20" s="19"/>
    </row>
    <row r="21" spans="1:14" x14ac:dyDescent="0.2">
      <c r="B21" s="17" t="s">
        <v>24</v>
      </c>
      <c r="C21" s="4">
        <f>IF(L11="All",COUNTIFS('Vendor Master Enrich'!$B:$B,$L$10&amp;C$14,IF($L$12="All",'Vendor Master Enrich'!$F:$F,'Vendor Master Enrich'!$D:$D),"&lt;&gt;"&amp;""),COUNTIFS('Vendor Master Enrich'!$B:$B,$L$10&amp;C$14,'Vendor Master Enrich'!J:J,"United States",IF($L$12="All",'Vendor Master Enrich'!$F:$F,'Vendor Master Enrich'!$D:$D),"&lt;&gt;"&amp;""))</f>
        <v>0</v>
      </c>
      <c r="D21" s="19"/>
      <c r="E21" s="4">
        <f>IF(L11="All",COUNTIFS('Vendor Master Enrich'!$B:$B,$L$10&amp;E$14,IF($L$12="All",'Vendor Master Enrich'!$F:$F,'Vendor Master Enrich'!$D:$D),"&lt;&gt;"&amp;""),COUNTIFS('Vendor Master Enrich'!$B:$B,$L$10&amp;E$14,'Vendor Master Enrich'!J:J,"United States",IF($L$12="All",'Vendor Master Enrich'!$F:$F,'Vendor Master Enrich'!$D:$D),"&lt;&gt;"&amp;""))</f>
        <v>0</v>
      </c>
      <c r="F21" s="19"/>
      <c r="G21" s="4">
        <f>IF(L11="All",COUNTIFS('Vendor Master Enrich'!$B:$B,$L$10&amp;G$14,IF($L$12="All",'Vendor Master Enrich'!$F:$F,'Vendor Master Enrich'!$D:$D),"&lt;&gt;"&amp;""),COUNTIFS('Vendor Master Enrich'!$B:$B,$L$10&amp;G$14,'Vendor Master Enrich'!J:J,"United States",IF($L$12="All",'Vendor Master Enrich'!$F:$F,'Vendor Master Enrich'!$D:$D),"&lt;&gt;"&amp;""))</f>
        <v>0</v>
      </c>
      <c r="H21" s="19"/>
      <c r="I21" s="4">
        <f>IF(L11="All",COUNTIFS('Vendor Master Enrich'!$B:$B,$L$10&amp;I$14,IF($L$12="All",'Vendor Master Enrich'!$F:$F,'Vendor Master Enrich'!$D:$D),"&lt;&gt;"&amp;""),COUNTIFS('Vendor Master Enrich'!$B:$B,$L$10&amp;I$14,'Vendor Master Enrich'!J:J,"United States",IF($L$12="All",'Vendor Master Enrich'!$F:$F,'Vendor Master Enrich'!$D:$D),"&lt;&gt;"&amp;""))</f>
        <v>0</v>
      </c>
      <c r="J21" s="19"/>
    </row>
    <row r="22" spans="1:14" ht="7" customHeight="1" x14ac:dyDescent="0.2">
      <c r="B22" s="20"/>
      <c r="C22" s="5"/>
      <c r="D22" s="5"/>
      <c r="E22" s="5"/>
      <c r="F22" s="5"/>
      <c r="G22" s="5"/>
      <c r="H22" s="5"/>
      <c r="I22" s="5"/>
      <c r="J22" s="5"/>
    </row>
    <row r="24" spans="1:14" s="8" customFormat="1" ht="68" customHeight="1" x14ac:dyDescent="0.2">
      <c r="B24" s="6" t="s">
        <v>25</v>
      </c>
      <c r="C24" s="129" t="s">
        <v>16</v>
      </c>
      <c r="D24" s="130"/>
      <c r="E24" s="129" t="s">
        <v>17</v>
      </c>
      <c r="F24" s="130"/>
      <c r="G24" s="129" t="s">
        <v>18</v>
      </c>
      <c r="H24" s="130"/>
      <c r="I24" s="129" t="s">
        <v>19</v>
      </c>
      <c r="J24" s="130"/>
      <c r="K24" s="129" t="s">
        <v>20</v>
      </c>
      <c r="L24" s="130"/>
      <c r="M24" s="55" t="s">
        <v>26</v>
      </c>
    </row>
    <row r="25" spans="1:14" x14ac:dyDescent="0.2">
      <c r="A25" s="62" t="s">
        <v>27</v>
      </c>
      <c r="B25" s="9" t="s">
        <v>28</v>
      </c>
      <c r="C25" s="18">
        <f>IF(L$11="All",IFERROR(SUM(SUMIFS('Vendor Master Enrich'!$D:$D,INDEX('Vendor Master Enrich'!$A:$ZZ,,MATCH($A25&amp;" Certification",'Vendor Master Enrich'!$A$1:$ZZ$1,0)),"Yes",'Vendor Master Enrich'!$B:$B,$L$10&amp;C$14)),0),IFERROR(SUM(SUMIFS('Vendor Master Enrich'!$D:$D,INDEX('Vendor Master Enrich'!$A:$ZZ,,MATCH($A25&amp;" Certification",'Vendor Master Enrich'!$A$1:$ZZ$1,0)),"Yes",'Vendor Master Enrich'!$B:$B,$L$10&amp;C$14,'Vendor Master Enrich'!J:J,"United States")),0))</f>
        <v>0</v>
      </c>
      <c r="D25" s="40" t="str">
        <f>IFERROR(C25/C$41,"")</f>
        <v/>
      </c>
      <c r="E25" s="18">
        <f>IF(L$11="All",IFERROR(SUM(SUMIFS('Vendor Master Enrich'!$D:$D,INDEX('Vendor Master Enrich'!$A:$ZZ,,MATCH($A25&amp;" Certification",'Vendor Master Enrich'!$A$1:$ZZ$1,0)),"Yes",'Vendor Master Enrich'!$B:$B,$L$10&amp;E$14)),0),IFERROR(SUM(SUMIFS('Vendor Master Enrich'!$D:$D,INDEX('Vendor Master Enrich'!$A:$ZZ,,MATCH($A25&amp;" Certification",'Vendor Master Enrich'!$A$1:$ZZ$1,0)),"Yes",'Vendor Master Enrich'!$B:$B,$L$10&amp;E$14,'Vendor Master Enrich'!J:J,"United States")),0))</f>
        <v>0</v>
      </c>
      <c r="F25" s="40" t="str">
        <f>IFERROR(E25/E$41,"")</f>
        <v/>
      </c>
      <c r="G25" s="18">
        <f>IF(L$11="All",IFERROR(SUM(SUMIFS('Vendor Master Enrich'!$D:$D,INDEX('Vendor Master Enrich'!$A:$ZZ,,MATCH($A25&amp;" Certification",'Vendor Master Enrich'!$A$1:$ZZ$1,0)),"Yes",'Vendor Master Enrich'!$B:$B,$L$10&amp;G$14)),0),IFERROR(SUM(SUMIFS('Vendor Master Enrich'!$D:$D,INDEX('Vendor Master Enrich'!$A:$ZZ,,MATCH($A25&amp;" Certification",'Vendor Master Enrich'!$A$1:$ZZ$1,0)),"Yes",'Vendor Master Enrich'!$B:$B,$L$10&amp;G$14,'Vendor Master Enrich'!J:J,"United States")),0))</f>
        <v>0</v>
      </c>
      <c r="H25" s="40" t="str">
        <f>IFERROR(G25/G$41,"")</f>
        <v/>
      </c>
      <c r="I25" s="18">
        <f>IF(L$11="All",IFERROR(SUM(SUMIFS('Vendor Master Enrich'!$D:$D,INDEX('Vendor Master Enrich'!$A:$ZZ,,MATCH($A25&amp;" Certification",'Vendor Master Enrich'!$A$1:$ZZ$1,0)),"Yes",'Vendor Master Enrich'!$B:$B,$L$10&amp;I$14)),0),IFERROR(SUM(SUMIFS('Vendor Master Enrich'!$D:$D,INDEX('Vendor Master Enrich'!$A:$ZZ,,MATCH($A25&amp;" Certification",'Vendor Master Enrich'!$A$1:$ZZ$1,0)),"Yes",'Vendor Master Enrich'!$B:$B,$L$10&amp;I$14,'Vendor Master Enrich'!J:J,"United States")),0))</f>
        <v>0</v>
      </c>
      <c r="J25" s="40" t="str">
        <f>IFERROR(I25/I$41,"")</f>
        <v/>
      </c>
      <c r="K25" s="18">
        <f t="shared" ref="K25:K35" si="0">I25+G25+E25+C25</f>
        <v>0</v>
      </c>
      <c r="L25" s="40" t="str">
        <f>IFERROR(K25/K$41,"")</f>
        <v/>
      </c>
    </row>
    <row r="26" spans="1:14" x14ac:dyDescent="0.2">
      <c r="A26" s="62" t="s">
        <v>29</v>
      </c>
      <c r="B26" s="10" t="s">
        <v>30</v>
      </c>
      <c r="C26" s="18">
        <f>IF(L$11="All",IFERROR(SUM(SUMIFS('Vendor Master Enrich'!$D:$D,INDEX('Vendor Master Enrich'!$A:$ZZ,,MATCH($A26&amp;" Certification",'Vendor Master Enrich'!$A$1:$ZZ$1,0)),"Yes",'Vendor Master Enrich'!$B:$B,$L$10&amp;C$14)),0),IFERROR(SUM(SUMIFS('Vendor Master Enrich'!$D:$D,INDEX('Vendor Master Enrich'!$A:$ZZ,,MATCH($A26&amp;" Certification",'Vendor Master Enrich'!$A$1:$ZZ$1,0)),"Yes",'Vendor Master Enrich'!$B:$B,$L$10&amp;C$14,'Vendor Master Enrich'!J:J,"United States")),0))</f>
        <v>0</v>
      </c>
      <c r="D26" s="40" t="str">
        <f>IFERROR(C26/C$41,"")</f>
        <v/>
      </c>
      <c r="E26" s="18">
        <f>IF(L$11="All",IFERROR(SUM(SUMIFS('Vendor Master Enrich'!$D:$D,INDEX('Vendor Master Enrich'!$A:$ZZ,,MATCH($A26&amp;" Certification",'Vendor Master Enrich'!$A$1:$ZZ$1,0)),"Yes",'Vendor Master Enrich'!$B:$B,$L$10&amp;E$14)),0),IFERROR(SUM(SUMIFS('Vendor Master Enrich'!$D:$D,INDEX('Vendor Master Enrich'!$A:$ZZ,,MATCH($A26&amp;" Certification",'Vendor Master Enrich'!$A$1:$ZZ$1,0)),"Yes",'Vendor Master Enrich'!$B:$B,$L$10&amp;E$14,'Vendor Master Enrich'!J:J,"United States")),0))</f>
        <v>0</v>
      </c>
      <c r="F26" s="40" t="str">
        <f>IFERROR(E26/E$41,"")</f>
        <v/>
      </c>
      <c r="G26" s="18">
        <f>IF(L$11="All",IFERROR(SUM(SUMIFS('Vendor Master Enrich'!$D:$D,INDEX('Vendor Master Enrich'!$A:$ZZ,,MATCH($A26&amp;" Certification",'Vendor Master Enrich'!$A$1:$ZZ$1,0)),"Yes",'Vendor Master Enrich'!$B:$B,$L$10&amp;G$14)),0),IFERROR(SUM(SUMIFS('Vendor Master Enrich'!$D:$D,INDEX('Vendor Master Enrich'!$A:$ZZ,,MATCH($A26&amp;" Certification",'Vendor Master Enrich'!$A$1:$ZZ$1,0)),"Yes",'Vendor Master Enrich'!$B:$B,$L$10&amp;G$14,'Vendor Master Enrich'!J:J,"United States")),0))</f>
        <v>0</v>
      </c>
      <c r="H26" s="40" t="str">
        <f>IFERROR(G26/G$41,"")</f>
        <v/>
      </c>
      <c r="I26" s="18">
        <f>IF(L$11="All",IFERROR(SUM(SUMIFS('Vendor Master Enrich'!$D:$D,INDEX('Vendor Master Enrich'!$A:$ZZ,,MATCH($A26&amp;" Certification",'Vendor Master Enrich'!$A$1:$ZZ$1,0)),"Yes",'Vendor Master Enrich'!$B:$B,$L$10&amp;I$14)),0),IFERROR(SUM(SUMIFS('Vendor Master Enrich'!$D:$D,INDEX('Vendor Master Enrich'!$A:$ZZ,,MATCH($A26&amp;" Certification",'Vendor Master Enrich'!$A$1:$ZZ$1,0)),"Yes",'Vendor Master Enrich'!$B:$B,$L$10&amp;I$14,'Vendor Master Enrich'!J:J,"United States")),0))</f>
        <v>0</v>
      </c>
      <c r="J26" s="40" t="str">
        <f>IFERROR(I26/I$41,"")</f>
        <v/>
      </c>
      <c r="K26" s="18">
        <f t="shared" si="0"/>
        <v>0</v>
      </c>
      <c r="L26" s="40" t="str">
        <f>IFERROR(K26/K$41,"")</f>
        <v/>
      </c>
      <c r="M26" s="61"/>
    </row>
    <row r="27" spans="1:14" x14ac:dyDescent="0.2">
      <c r="A27" s="62" t="s">
        <v>31</v>
      </c>
      <c r="B27" s="10" t="s">
        <v>32</v>
      </c>
      <c r="C27" s="18">
        <f>IF(L$11="All",IFERROR(SUM(SUMIFS('Vendor Master Enrich'!$D:$D,INDEX('Vendor Master Enrich'!$A:$ZZ,,MATCH($A27&amp;" Certification",'Vendor Master Enrich'!$A$1:$ZZ$1,0)),"Yes",'Vendor Master Enrich'!$B:$B,$L$10&amp;C$14)),0),IFERROR(SUM(SUMIFS('Vendor Master Enrich'!$D:$D,INDEX('Vendor Master Enrich'!$A:$ZZ,,MATCH($A27&amp;" Certification",'Vendor Master Enrich'!$A$1:$ZZ$1,0)),"Yes",'Vendor Master Enrich'!$B:$B,$L$10&amp;C$14,'Vendor Master Enrich'!J:J,"United States")),0))</f>
        <v>0</v>
      </c>
      <c r="D27" s="40" t="str">
        <f>IFERROR(C27/C$41,"")</f>
        <v/>
      </c>
      <c r="E27" s="18">
        <f>IF(L$11="All",IFERROR(SUM(SUMIFS('Vendor Master Enrich'!$D:$D,INDEX('Vendor Master Enrich'!$A:$ZZ,,MATCH($A27&amp;" Certification",'Vendor Master Enrich'!$A$1:$ZZ$1,0)),"Yes",'Vendor Master Enrich'!$B:$B,$L$10&amp;E$14)),0),IFERROR(SUM(SUMIFS('Vendor Master Enrich'!$D:$D,INDEX('Vendor Master Enrich'!$A:$ZZ,,MATCH($A27&amp;" Certification",'Vendor Master Enrich'!$A$1:$ZZ$1,0)),"Yes",'Vendor Master Enrich'!$B:$B,$L$10&amp;E$14,'Vendor Master Enrich'!J:J,"United States")),0))</f>
        <v>0</v>
      </c>
      <c r="F27" s="40" t="str">
        <f>IFERROR(E27/E$41,"")</f>
        <v/>
      </c>
      <c r="G27" s="18">
        <f>IF(L$11="All",IFERROR(SUM(SUMIFS('Vendor Master Enrich'!$D:$D,INDEX('Vendor Master Enrich'!$A:$ZZ,,MATCH($A27&amp;" Certification",'Vendor Master Enrich'!$A$1:$ZZ$1,0)),"Yes",'Vendor Master Enrich'!$B:$B,$L$10&amp;G$14)),0),IFERROR(SUM(SUMIFS('Vendor Master Enrich'!$D:$D,INDEX('Vendor Master Enrich'!$A:$ZZ,,MATCH($A27&amp;" Certification",'Vendor Master Enrich'!$A$1:$ZZ$1,0)),"Yes",'Vendor Master Enrich'!$B:$B,$L$10&amp;G$14,'Vendor Master Enrich'!J:J,"United States")),0))</f>
        <v>0</v>
      </c>
      <c r="H27" s="40" t="str">
        <f>IFERROR(G27/G$41,"")</f>
        <v/>
      </c>
      <c r="I27" s="18">
        <f>IF(L$11="All",IFERROR(SUM(SUMIFS('Vendor Master Enrich'!$D:$D,INDEX('Vendor Master Enrich'!$A:$ZZ,,MATCH($A27&amp;" Certification",'Vendor Master Enrich'!$A$1:$ZZ$1,0)),"Yes",'Vendor Master Enrich'!$B:$B,$L$10&amp;I$14)),0),IFERROR(SUM(SUMIFS('Vendor Master Enrich'!$D:$D,INDEX('Vendor Master Enrich'!$A:$ZZ,,MATCH($A27&amp;" Certification",'Vendor Master Enrich'!$A$1:$ZZ$1,0)),"Yes",'Vendor Master Enrich'!$B:$B,$L$10&amp;I$14,'Vendor Master Enrich'!J:J,"United States")),0))</f>
        <v>0</v>
      </c>
      <c r="J27" s="40" t="str">
        <f>IFERROR(I27/I$41,"")</f>
        <v/>
      </c>
      <c r="K27" s="18">
        <f t="shared" si="0"/>
        <v>0</v>
      </c>
      <c r="L27" s="40" t="str">
        <f>IFERROR(K27/K$41,"")</f>
        <v/>
      </c>
    </row>
    <row r="28" spans="1:14" x14ac:dyDescent="0.2">
      <c r="A28" s="62" t="s">
        <v>33</v>
      </c>
      <c r="B28" s="10" t="s">
        <v>34</v>
      </c>
      <c r="C28" s="18">
        <f>IF(L$11="All",IFERROR(SUM(SUMIFS('Vendor Master Enrich'!$D:$D,INDEX('Vendor Master Enrich'!$A:$ZZ,,MATCH($A28&amp;" Certification",'Vendor Master Enrich'!$A$1:$ZZ$1,0)),"Yes",'Vendor Master Enrich'!$B:$B,$L$10&amp;C$14)),0),IFERROR(SUM(SUMIFS('Vendor Master Enrich'!$D:$D,INDEX('Vendor Master Enrich'!$A:$ZZ,,MATCH($A28&amp;" Certification",'Vendor Master Enrich'!$A$1:$ZZ$1,0)),"Yes",'Vendor Master Enrich'!$B:$B,$L$10&amp;C$14,'Vendor Master Enrich'!J:J,"United States")),0))</f>
        <v>0</v>
      </c>
      <c r="D28" s="40" t="str">
        <f>IFERROR(C28/C$41,"")</f>
        <v/>
      </c>
      <c r="E28" s="18">
        <f>IF(L$11="All",IFERROR(SUM(SUMIFS('Vendor Master Enrich'!$D:$D,INDEX('Vendor Master Enrich'!$A:$ZZ,,MATCH($A28&amp;" Certification",'Vendor Master Enrich'!$A$1:$ZZ$1,0)),"Yes",'Vendor Master Enrich'!$B:$B,$L$10&amp;E$14)),0),IFERROR(SUM(SUMIFS('Vendor Master Enrich'!$D:$D,INDEX('Vendor Master Enrich'!$A:$ZZ,,MATCH($A28&amp;" Certification",'Vendor Master Enrich'!$A$1:$ZZ$1,0)),"Yes",'Vendor Master Enrich'!$B:$B,$L$10&amp;E$14,'Vendor Master Enrich'!J:J,"United States")),0))</f>
        <v>0</v>
      </c>
      <c r="F28" s="40" t="str">
        <f>IFERROR(E28/E$41,"")</f>
        <v/>
      </c>
      <c r="G28" s="18">
        <f>IF(L$11="All",IFERROR(SUM(SUMIFS('Vendor Master Enrich'!$D:$D,INDEX('Vendor Master Enrich'!$A:$ZZ,,MATCH($A28&amp;" Certification",'Vendor Master Enrich'!$A$1:$ZZ$1,0)),"Yes",'Vendor Master Enrich'!$B:$B,$L$10&amp;G$14)),0),IFERROR(SUM(SUMIFS('Vendor Master Enrich'!$D:$D,INDEX('Vendor Master Enrich'!$A:$ZZ,,MATCH($A28&amp;" Certification",'Vendor Master Enrich'!$A$1:$ZZ$1,0)),"Yes",'Vendor Master Enrich'!$B:$B,$L$10&amp;G$14,'Vendor Master Enrich'!J:J,"United States")),0))</f>
        <v>0</v>
      </c>
      <c r="H28" s="40" t="str">
        <f>IFERROR(G28/G$41,"")</f>
        <v/>
      </c>
      <c r="I28" s="18">
        <f>IF(L$11="All",IFERROR(SUM(SUMIFS('Vendor Master Enrich'!$D:$D,INDEX('Vendor Master Enrich'!$A:$ZZ,,MATCH($A28&amp;" Certification",'Vendor Master Enrich'!$A$1:$ZZ$1,0)),"Yes",'Vendor Master Enrich'!$B:$B,$L$10&amp;I$14)),0),IFERROR(SUM(SUMIFS('Vendor Master Enrich'!$D:$D,INDEX('Vendor Master Enrich'!$A:$ZZ,,MATCH($A28&amp;" Certification",'Vendor Master Enrich'!$A$1:$ZZ$1,0)),"Yes",'Vendor Master Enrich'!$B:$B,$L$10&amp;I$14,'Vendor Master Enrich'!J:J,"United States")),0))</f>
        <v>0</v>
      </c>
      <c r="J28" s="40" t="str">
        <f>IFERROR(I28/I$41,"")</f>
        <v/>
      </c>
      <c r="K28" s="18">
        <f t="shared" si="0"/>
        <v>0</v>
      </c>
      <c r="L28" s="40" t="str">
        <f>IFERROR(K28/K$41,"")</f>
        <v/>
      </c>
    </row>
    <row r="29" spans="1:14" x14ac:dyDescent="0.2">
      <c r="A29" s="27" t="s">
        <v>35</v>
      </c>
      <c r="B29" s="10" t="s">
        <v>36</v>
      </c>
      <c r="C29" s="18">
        <f>IF(L$11="All",IFERROR(SUM(SUMIFS('Vendor Master Enrich'!$D:$D,INDEX('Vendor Master Enrich'!$A:$ZZ,,MATCH($A29&amp;" Certification",'Vendor Master Enrich'!$A$1:$ZZ$1,0)),"Yes",'Vendor Master Enrich'!$B:$B,$L$10&amp;C$14)),0),IFERROR(SUM(SUMIFS('Vendor Master Enrich'!$D:$D,INDEX('Vendor Master Enrich'!$A:$ZZ,,MATCH($A29&amp;" Certification",'Vendor Master Enrich'!$A$1:$ZZ$1,0)),"Yes",'Vendor Master Enrich'!$B:$B,$L$10&amp;C$14,'Vendor Master Enrich'!J:J,"United States")),0))</f>
        <v>0</v>
      </c>
      <c r="D29" s="40" t="str">
        <f>IFERROR(C29/C$41,"")</f>
        <v/>
      </c>
      <c r="E29" s="18">
        <f>IF(L$11="All",IFERROR(SUM(SUMIFS('Vendor Master Enrich'!$D:$D,INDEX('Vendor Master Enrich'!$A:$ZZ,,MATCH($A29&amp;" Certification",'Vendor Master Enrich'!$A$1:$ZZ$1,0)),"Yes",'Vendor Master Enrich'!$B:$B,$L$10&amp;E$14)),0),IFERROR(SUM(SUMIFS('Vendor Master Enrich'!$D:$D,INDEX('Vendor Master Enrich'!$A:$ZZ,,MATCH($A29&amp;" Certification",'Vendor Master Enrich'!$A$1:$ZZ$1,0)),"Yes",'Vendor Master Enrich'!$B:$B,$L$10&amp;E$14,'Vendor Master Enrich'!J:J,"United States")),0))</f>
        <v>0</v>
      </c>
      <c r="F29" s="40" t="str">
        <f>IFERROR(E29/E$41,"")</f>
        <v/>
      </c>
      <c r="G29" s="18">
        <f>IF(L$11="All",IFERROR(SUM(SUMIFS('Vendor Master Enrich'!$D:$D,INDEX('Vendor Master Enrich'!$A:$ZZ,,MATCH($A29&amp;" Certification",'Vendor Master Enrich'!$A$1:$ZZ$1,0)),"Yes",'Vendor Master Enrich'!$B:$B,$L$10&amp;G$14)),0),IFERROR(SUM(SUMIFS('Vendor Master Enrich'!$D:$D,INDEX('Vendor Master Enrich'!$A:$ZZ,,MATCH($A29&amp;" Certification",'Vendor Master Enrich'!$A$1:$ZZ$1,0)),"Yes",'Vendor Master Enrich'!$B:$B,$L$10&amp;G$14,'Vendor Master Enrich'!J:J,"United States")),0))</f>
        <v>0</v>
      </c>
      <c r="H29" s="40" t="str">
        <f>IFERROR(G29/G$41,"")</f>
        <v/>
      </c>
      <c r="I29" s="18">
        <f>IF(L$11="All",IFERROR(SUM(SUMIFS('Vendor Master Enrich'!$D:$D,INDEX('Vendor Master Enrich'!$A:$ZZ,,MATCH($A29&amp;" Certification",'Vendor Master Enrich'!$A$1:$ZZ$1,0)),"Yes",'Vendor Master Enrich'!$B:$B,$L$10&amp;I$14)),0),IFERROR(SUM(SUMIFS('Vendor Master Enrich'!$D:$D,INDEX('Vendor Master Enrich'!$A:$ZZ,,MATCH($A29&amp;" Certification",'Vendor Master Enrich'!$A$1:$ZZ$1,0)),"Yes",'Vendor Master Enrich'!$B:$B,$L$10&amp;I$14,'Vendor Master Enrich'!J:J,"United States")),0))</f>
        <v>0</v>
      </c>
      <c r="J29" s="40" t="str">
        <f>IFERROR(I29/I$41,"")</f>
        <v/>
      </c>
      <c r="K29" s="18">
        <f t="shared" si="0"/>
        <v>0</v>
      </c>
      <c r="L29" s="40" t="str">
        <f>IFERROR(K29/K$41,"")</f>
        <v/>
      </c>
    </row>
    <row r="30" spans="1:14" x14ac:dyDescent="0.2">
      <c r="A30" s="27" t="s">
        <v>37</v>
      </c>
      <c r="B30" s="10" t="s">
        <v>38</v>
      </c>
      <c r="C30" s="18">
        <f>IF(L$11="All",IFERROR(SUM(SUMIFS('Vendor Master Enrich'!$D:$D,INDEX('Vendor Master Enrich'!$A:$ZZ,,MATCH($A30&amp;" Certification",'Vendor Master Enrich'!$A$1:$ZZ$1,0)),"Yes",'Vendor Master Enrich'!$B:$B,$L$10&amp;C$14)),0),IFERROR(SUM(SUMIFS('Vendor Master Enrich'!$D:$D,INDEX('Vendor Master Enrich'!$A:$ZZ,,MATCH($A30&amp;" Certification",'Vendor Master Enrich'!$A$1:$ZZ$1,0)),"Yes",'Vendor Master Enrich'!$B:$B,$L$10&amp;C$14,'Vendor Master Enrich'!J:J,"United States")),0))</f>
        <v>0</v>
      </c>
      <c r="D30" s="40" t="str">
        <f>IFERROR(C30/C$41,"")</f>
        <v/>
      </c>
      <c r="E30" s="18">
        <f>IF(L$11="All",IFERROR(SUM(SUMIFS('Vendor Master Enrich'!$D:$D,INDEX('Vendor Master Enrich'!$A:$ZZ,,MATCH($A30&amp;" Certification",'Vendor Master Enrich'!$A$1:$ZZ$1,0)),"Yes",'Vendor Master Enrich'!$B:$B,$L$10&amp;E$14)),0),IFERROR(SUM(SUMIFS('Vendor Master Enrich'!$D:$D,INDEX('Vendor Master Enrich'!$A:$ZZ,,MATCH($A30&amp;" Certification",'Vendor Master Enrich'!$A$1:$ZZ$1,0)),"Yes",'Vendor Master Enrich'!$B:$B,$L$10&amp;E$14,'Vendor Master Enrich'!J:J,"United States")),0))</f>
        <v>0</v>
      </c>
      <c r="F30" s="40" t="str">
        <f>IFERROR(E30/E$41,"")</f>
        <v/>
      </c>
      <c r="G30" s="18">
        <f>IF(L$11="All",IFERROR(SUM(SUMIFS('Vendor Master Enrich'!$D:$D,INDEX('Vendor Master Enrich'!$A:$ZZ,,MATCH($A30&amp;" Certification",'Vendor Master Enrich'!$A$1:$ZZ$1,0)),"Yes",'Vendor Master Enrich'!$B:$B,$L$10&amp;G$14)),0),IFERROR(SUM(SUMIFS('Vendor Master Enrich'!$D:$D,INDEX('Vendor Master Enrich'!$A:$ZZ,,MATCH($A30&amp;" Certification",'Vendor Master Enrich'!$A$1:$ZZ$1,0)),"Yes",'Vendor Master Enrich'!$B:$B,$L$10&amp;G$14,'Vendor Master Enrich'!J:J,"United States")),0))</f>
        <v>0</v>
      </c>
      <c r="H30" s="40" t="str">
        <f>IFERROR(G30/G$41,"")</f>
        <v/>
      </c>
      <c r="I30" s="18">
        <f>IF(L$11="All",IFERROR(SUM(SUMIFS('Vendor Master Enrich'!$D:$D,INDEX('Vendor Master Enrich'!$A:$ZZ,,MATCH($A30&amp;" Certification",'Vendor Master Enrich'!$A$1:$ZZ$1,0)),"Yes",'Vendor Master Enrich'!$B:$B,$L$10&amp;I$14)),0),IFERROR(SUM(SUMIFS('Vendor Master Enrich'!$D:$D,INDEX('Vendor Master Enrich'!$A:$ZZ,,MATCH($A30&amp;" Certification",'Vendor Master Enrich'!$A$1:$ZZ$1,0)),"Yes",'Vendor Master Enrich'!$B:$B,$L$10&amp;I$14,'Vendor Master Enrich'!J:J,"United States")),0))</f>
        <v>0</v>
      </c>
      <c r="J30" s="40" t="str">
        <f>IFERROR(I30/I$41,"")</f>
        <v/>
      </c>
      <c r="K30" s="18">
        <f t="shared" si="0"/>
        <v>0</v>
      </c>
      <c r="L30" s="40" t="str">
        <f>IFERROR(K30/K$41,"")</f>
        <v/>
      </c>
    </row>
    <row r="31" spans="1:14" x14ac:dyDescent="0.2">
      <c r="A31" s="27" t="s">
        <v>39</v>
      </c>
      <c r="B31" s="10" t="s">
        <v>40</v>
      </c>
      <c r="C31" s="18">
        <f>IF(L$11="All",IFERROR(SUM(SUMIFS('Vendor Master Enrich'!$D:$D,INDEX('Vendor Master Enrich'!$A:$ZZ,,MATCH($A31&amp;" Certification",'Vendor Master Enrich'!$A$1:$ZZ$1,0)),"Yes",'Vendor Master Enrich'!$B:$B,$L$10&amp;C$14)),0),IFERROR(SUM(SUMIFS('Vendor Master Enrich'!$D:$D,INDEX('Vendor Master Enrich'!$A:$ZZ,,MATCH($A31&amp;" Certification",'Vendor Master Enrich'!$A$1:$ZZ$1,0)),"Yes",'Vendor Master Enrich'!$B:$B,$L$10&amp;C$14,'Vendor Master Enrich'!J:J,"United States")),0))</f>
        <v>0</v>
      </c>
      <c r="D31" s="40" t="str">
        <f>IFERROR(C31/C$41,"")</f>
        <v/>
      </c>
      <c r="E31" s="18">
        <f>IF(L$11="All",IFERROR(SUM(SUMIFS('Vendor Master Enrich'!$D:$D,INDEX('Vendor Master Enrich'!$A:$ZZ,,MATCH($A31&amp;" Certification",'Vendor Master Enrich'!$A$1:$ZZ$1,0)),"Yes",'Vendor Master Enrich'!$B:$B,$L$10&amp;E$14)),0),IFERROR(SUM(SUMIFS('Vendor Master Enrich'!$D:$D,INDEX('Vendor Master Enrich'!$A:$ZZ,,MATCH($A31&amp;" Certification",'Vendor Master Enrich'!$A$1:$ZZ$1,0)),"Yes",'Vendor Master Enrich'!$B:$B,$L$10&amp;E$14,'Vendor Master Enrich'!J:J,"United States")),0))</f>
        <v>0</v>
      </c>
      <c r="F31" s="40" t="str">
        <f>IFERROR(E31/E$41,"")</f>
        <v/>
      </c>
      <c r="G31" s="18">
        <f>IF(L$11="All",IFERROR(SUM(SUMIFS('Vendor Master Enrich'!$D:$D,INDEX('Vendor Master Enrich'!$A:$ZZ,,MATCH($A31&amp;" Certification",'Vendor Master Enrich'!$A$1:$ZZ$1,0)),"Yes",'Vendor Master Enrich'!$B:$B,$L$10&amp;G$14)),0),IFERROR(SUM(SUMIFS('Vendor Master Enrich'!$D:$D,INDEX('Vendor Master Enrich'!$A:$ZZ,,MATCH($A31&amp;" Certification",'Vendor Master Enrich'!$A$1:$ZZ$1,0)),"Yes",'Vendor Master Enrich'!$B:$B,$L$10&amp;G$14,'Vendor Master Enrich'!J:J,"United States")),0))</f>
        <v>0</v>
      </c>
      <c r="H31" s="40" t="str">
        <f>IFERROR(G31/G$41,"")</f>
        <v/>
      </c>
      <c r="I31" s="18">
        <f>IF(L$11="All",IFERROR(SUM(SUMIFS('Vendor Master Enrich'!$D:$D,INDEX('Vendor Master Enrich'!$A:$ZZ,,MATCH($A31&amp;" Certification",'Vendor Master Enrich'!$A$1:$ZZ$1,0)),"Yes",'Vendor Master Enrich'!$B:$B,$L$10&amp;I$14)),0),IFERROR(SUM(SUMIFS('Vendor Master Enrich'!$D:$D,INDEX('Vendor Master Enrich'!$A:$ZZ,,MATCH($A31&amp;" Certification",'Vendor Master Enrich'!$A$1:$ZZ$1,0)),"Yes",'Vendor Master Enrich'!$B:$B,$L$10&amp;I$14,'Vendor Master Enrich'!J:J,"United States")),0))</f>
        <v>0</v>
      </c>
      <c r="J31" s="40" t="str">
        <f>IFERROR(I31/I$41,"")</f>
        <v/>
      </c>
      <c r="K31" s="18">
        <f t="shared" si="0"/>
        <v>0</v>
      </c>
      <c r="L31" s="40" t="str">
        <f>IFERROR(K31/K$41,"")</f>
        <v/>
      </c>
    </row>
    <row r="32" spans="1:14" x14ac:dyDescent="0.2">
      <c r="A32" s="27" t="s">
        <v>41</v>
      </c>
      <c r="B32" s="10" t="s">
        <v>42</v>
      </c>
      <c r="C32" s="18">
        <f>IF(L$11="All",IFERROR(SUM(SUMIFS('Vendor Master Enrich'!$D:$D,INDEX('Vendor Master Enrich'!$A:$ZZ,,MATCH($A32&amp;" Certification",'Vendor Master Enrich'!$A$1:$ZZ$1,0)),"Yes",'Vendor Master Enrich'!$B:$B,$L$10&amp;C$14)),0),IFERROR(SUM(SUMIFS('Vendor Master Enrich'!$D:$D,INDEX('Vendor Master Enrich'!$A:$ZZ,,MATCH($A32&amp;" Certification",'Vendor Master Enrich'!$A$1:$ZZ$1,0)),"Yes",'Vendor Master Enrich'!$B:$B,$L$10&amp;C$14,'Vendor Master Enrich'!J:J,"United States")),0))</f>
        <v>0</v>
      </c>
      <c r="D32" s="40" t="str">
        <f>IFERROR(C32/C$41,"")</f>
        <v/>
      </c>
      <c r="E32" s="18">
        <f>IF(L$11="All",IFERROR(SUM(SUMIFS('Vendor Master Enrich'!$D:$D,INDEX('Vendor Master Enrich'!$A:$ZZ,,MATCH($A32&amp;" Certification",'Vendor Master Enrich'!$A$1:$ZZ$1,0)),"Yes",'Vendor Master Enrich'!$B:$B,$L$10&amp;E$14)),0),IFERROR(SUM(SUMIFS('Vendor Master Enrich'!$D:$D,INDEX('Vendor Master Enrich'!$A:$ZZ,,MATCH($A32&amp;" Certification",'Vendor Master Enrich'!$A$1:$ZZ$1,0)),"Yes",'Vendor Master Enrich'!$B:$B,$L$10&amp;E$14,'Vendor Master Enrich'!J:J,"United States")),0))</f>
        <v>0</v>
      </c>
      <c r="F32" s="40" t="str">
        <f>IFERROR(E32/E$41,"")</f>
        <v/>
      </c>
      <c r="G32" s="18">
        <f>IF(L$11="All",IFERROR(SUM(SUMIFS('Vendor Master Enrich'!$D:$D,INDEX('Vendor Master Enrich'!$A:$ZZ,,MATCH($A32&amp;" Certification",'Vendor Master Enrich'!$A$1:$ZZ$1,0)),"Yes",'Vendor Master Enrich'!$B:$B,$L$10&amp;G$14)),0),IFERROR(SUM(SUMIFS('Vendor Master Enrich'!$D:$D,INDEX('Vendor Master Enrich'!$A:$ZZ,,MATCH($A32&amp;" Certification",'Vendor Master Enrich'!$A$1:$ZZ$1,0)),"Yes",'Vendor Master Enrich'!$B:$B,$L$10&amp;G$14,'Vendor Master Enrich'!J:J,"United States")),0))</f>
        <v>0</v>
      </c>
      <c r="H32" s="40" t="str">
        <f>IFERROR(G32/G$41,"")</f>
        <v/>
      </c>
      <c r="I32" s="18">
        <f>IF(L$11="All",IFERROR(SUM(SUMIFS('Vendor Master Enrich'!$D:$D,INDEX('Vendor Master Enrich'!$A:$ZZ,,MATCH($A32&amp;" Certification",'Vendor Master Enrich'!$A$1:$ZZ$1,0)),"Yes",'Vendor Master Enrich'!$B:$B,$L$10&amp;I$14)),0),IFERROR(SUM(SUMIFS('Vendor Master Enrich'!$D:$D,INDEX('Vendor Master Enrich'!$A:$ZZ,,MATCH($A32&amp;" Certification",'Vendor Master Enrich'!$A$1:$ZZ$1,0)),"Yes",'Vendor Master Enrich'!$B:$B,$L$10&amp;I$14,'Vendor Master Enrich'!J:J,"United States")),0))</f>
        <v>0</v>
      </c>
      <c r="J32" s="40" t="str">
        <f>IFERROR(I32/I$41,"")</f>
        <v/>
      </c>
      <c r="K32" s="18">
        <f t="shared" si="0"/>
        <v>0</v>
      </c>
      <c r="L32" s="40" t="str">
        <f>IFERROR(K32/K$41,"")</f>
        <v/>
      </c>
    </row>
    <row r="33" spans="1:13" x14ac:dyDescent="0.2">
      <c r="A33" s="27" t="s">
        <v>43</v>
      </c>
      <c r="B33" s="10" t="s">
        <v>44</v>
      </c>
      <c r="C33" s="18">
        <f>IF(L$11="All",IFERROR(SUM(SUMIFS('Vendor Master Enrich'!$D:$D,INDEX('Vendor Master Enrich'!$A:$ZZ,,MATCH($A33&amp;" Certification",'Vendor Master Enrich'!$A$1:$ZZ$1,0)),"Yes",'Vendor Master Enrich'!$B:$B,$L$10&amp;C$14)),0),IFERROR(SUM(SUMIFS('Vendor Master Enrich'!$D:$D,INDEX('Vendor Master Enrich'!$A:$ZZ,,MATCH($A33&amp;" Certification",'Vendor Master Enrich'!$A$1:$ZZ$1,0)),"Yes",'Vendor Master Enrich'!$B:$B,$L$10&amp;C$14,'Vendor Master Enrich'!J:J,"United States")),0))</f>
        <v>0</v>
      </c>
      <c r="D33" s="40" t="str">
        <f>IFERROR(C33/C$41,"")</f>
        <v/>
      </c>
      <c r="E33" s="18">
        <f>IF(L$11="All",IFERROR(SUM(SUMIFS('Vendor Master Enrich'!$D:$D,INDEX('Vendor Master Enrich'!$A:$ZZ,,MATCH($A33&amp;" Certification",'Vendor Master Enrich'!$A$1:$ZZ$1,0)),"Yes",'Vendor Master Enrich'!$B:$B,$L$10&amp;E$14)),0),IFERROR(SUM(SUMIFS('Vendor Master Enrich'!$D:$D,INDEX('Vendor Master Enrich'!$A:$ZZ,,MATCH($A33&amp;" Certification",'Vendor Master Enrich'!$A$1:$ZZ$1,0)),"Yes",'Vendor Master Enrich'!$B:$B,$L$10&amp;E$14,'Vendor Master Enrich'!J:J,"United States")),0))</f>
        <v>0</v>
      </c>
      <c r="F33" s="40" t="str">
        <f>IFERROR(E33/E$41,"")</f>
        <v/>
      </c>
      <c r="G33" s="18">
        <f>IF(L$11="All",IFERROR(SUM(SUMIFS('Vendor Master Enrich'!$D:$D,INDEX('Vendor Master Enrich'!$A:$ZZ,,MATCH($A33&amp;" Certification",'Vendor Master Enrich'!$A$1:$ZZ$1,0)),"Yes",'Vendor Master Enrich'!$B:$B,$L$10&amp;G$14)),0),IFERROR(SUM(SUMIFS('Vendor Master Enrich'!$D:$D,INDEX('Vendor Master Enrich'!$A:$ZZ,,MATCH($A33&amp;" Certification",'Vendor Master Enrich'!$A$1:$ZZ$1,0)),"Yes",'Vendor Master Enrich'!$B:$B,$L$10&amp;G$14,'Vendor Master Enrich'!J:J,"United States")),0))</f>
        <v>0</v>
      </c>
      <c r="H33" s="40" t="str">
        <f>IFERROR(G33/G$41,"")</f>
        <v/>
      </c>
      <c r="I33" s="18">
        <f>IF(L$11="All",IFERROR(SUM(SUMIFS('Vendor Master Enrich'!$D:$D,INDEX('Vendor Master Enrich'!$A:$ZZ,,MATCH($A33&amp;" Certification",'Vendor Master Enrich'!$A$1:$ZZ$1,0)),"Yes",'Vendor Master Enrich'!$B:$B,$L$10&amp;I$14)),0),IFERROR(SUM(SUMIFS('Vendor Master Enrich'!$D:$D,INDEX('Vendor Master Enrich'!$A:$ZZ,,MATCH($A33&amp;" Certification",'Vendor Master Enrich'!$A$1:$ZZ$1,0)),"Yes",'Vendor Master Enrich'!$B:$B,$L$10&amp;I$14,'Vendor Master Enrich'!J:J,"United States")),0))</f>
        <v>0</v>
      </c>
      <c r="J33" s="40" t="str">
        <f>IFERROR(I33/I$41,"")</f>
        <v/>
      </c>
      <c r="K33" s="18">
        <f t="shared" si="0"/>
        <v>0</v>
      </c>
      <c r="L33" s="40" t="str">
        <f>IFERROR(K33/K$41,"")</f>
        <v/>
      </c>
    </row>
    <row r="34" spans="1:13" x14ac:dyDescent="0.2">
      <c r="A34" s="27" t="s">
        <v>45</v>
      </c>
      <c r="B34" s="10" t="s">
        <v>46</v>
      </c>
      <c r="C34" s="18">
        <f>IF(L$11="All",IFERROR(SUM(SUMIFS('Vendor Master Enrich'!$D:$D,INDEX('Vendor Master Enrich'!$A:$ZZ,,MATCH($A34&amp;" Certification",'Vendor Master Enrich'!$A$1:$ZZ$1,0)),"Yes",'Vendor Master Enrich'!$B:$B,$L$10&amp;C$14)),0),IFERROR(SUM(SUMIFS('Vendor Master Enrich'!$D:$D,INDEX('Vendor Master Enrich'!$A:$ZZ,,MATCH($A34&amp;" Certification",'Vendor Master Enrich'!$A$1:$ZZ$1,0)),"Yes",'Vendor Master Enrich'!$B:$B,$L$10&amp;C$14,'Vendor Master Enrich'!J:J,"United States")),0))</f>
        <v>0</v>
      </c>
      <c r="D34" s="40" t="str">
        <f>IFERROR(C34/C$41,"")</f>
        <v/>
      </c>
      <c r="E34" s="18">
        <f>IF(L$11="All",IFERROR(SUM(SUMIFS('Vendor Master Enrich'!$D:$D,INDEX('Vendor Master Enrich'!$A:$ZZ,,MATCH($A34&amp;" Certification",'Vendor Master Enrich'!$A$1:$ZZ$1,0)),"Yes",'Vendor Master Enrich'!$B:$B,$L$10&amp;E$14)),0),IFERROR(SUM(SUMIFS('Vendor Master Enrich'!$D:$D,INDEX('Vendor Master Enrich'!$A:$ZZ,,MATCH($A34&amp;" Certification",'Vendor Master Enrich'!$A$1:$ZZ$1,0)),"Yes",'Vendor Master Enrich'!$B:$B,$L$10&amp;E$14,'Vendor Master Enrich'!J:J,"United States")),0))</f>
        <v>0</v>
      </c>
      <c r="F34" s="40" t="str">
        <f>IFERROR(E34/E$41,"")</f>
        <v/>
      </c>
      <c r="G34" s="18">
        <f>IF(L$11="All",IFERROR(SUM(SUMIFS('Vendor Master Enrich'!$D:$D,INDEX('Vendor Master Enrich'!$A:$ZZ,,MATCH($A34&amp;" Certification",'Vendor Master Enrich'!$A$1:$ZZ$1,0)),"Yes",'Vendor Master Enrich'!$B:$B,$L$10&amp;G$14)),0),IFERROR(SUM(SUMIFS('Vendor Master Enrich'!$D:$D,INDEX('Vendor Master Enrich'!$A:$ZZ,,MATCH($A34&amp;" Certification",'Vendor Master Enrich'!$A$1:$ZZ$1,0)),"Yes",'Vendor Master Enrich'!$B:$B,$L$10&amp;G$14,'Vendor Master Enrich'!J:J,"United States")),0))</f>
        <v>0</v>
      </c>
      <c r="H34" s="40" t="str">
        <f>IFERROR(G34/G$41,"")</f>
        <v/>
      </c>
      <c r="I34" s="18">
        <f>IF(L$11="All",IFERROR(SUM(SUMIFS('Vendor Master Enrich'!$D:$D,INDEX('Vendor Master Enrich'!$A:$ZZ,,MATCH($A34&amp;" Certification",'Vendor Master Enrich'!$A$1:$ZZ$1,0)),"Yes",'Vendor Master Enrich'!$B:$B,$L$10&amp;I$14)),0),IFERROR(SUM(SUMIFS('Vendor Master Enrich'!$D:$D,INDEX('Vendor Master Enrich'!$A:$ZZ,,MATCH($A34&amp;" Certification",'Vendor Master Enrich'!$A$1:$ZZ$1,0)),"Yes",'Vendor Master Enrich'!$B:$B,$L$10&amp;I$14,'Vendor Master Enrich'!J:J,"United States")),0))</f>
        <v>0</v>
      </c>
      <c r="J34" s="40" t="str">
        <f>IFERROR(I34/I$41,"")</f>
        <v/>
      </c>
      <c r="K34" s="18">
        <f t="shared" si="0"/>
        <v>0</v>
      </c>
      <c r="L34" s="40" t="str">
        <f>IFERROR(K34/K$41,"")</f>
        <v/>
      </c>
      <c r="M34" s="10"/>
    </row>
    <row r="35" spans="1:13" x14ac:dyDescent="0.2">
      <c r="A35" s="27" t="s">
        <v>47</v>
      </c>
      <c r="B35" s="10" t="s">
        <v>48</v>
      </c>
      <c r="C35" s="18">
        <f>IF(L$11="All",IFERROR(SUM(SUMIFS('Vendor Master Enrich'!$D:$D,INDEX('Vendor Master Enrich'!$A:$ZZ,,MATCH($A35&amp;" Certification",'Vendor Master Enrich'!$A$1:$ZZ$1,0)),"Yes",'Vendor Master Enrich'!$B:$B,$L$10&amp;C$14)),0),IFERROR(SUM(SUMIFS('Vendor Master Enrich'!$D:$D,INDEX('Vendor Master Enrich'!$A:$ZZ,,MATCH($A35&amp;" Certification",'Vendor Master Enrich'!$A$1:$ZZ$1,0)),"Yes",'Vendor Master Enrich'!$B:$B,$L$10&amp;C$14,'Vendor Master Enrich'!J:J,"United States")),0))</f>
        <v>0</v>
      </c>
      <c r="D35" s="40" t="str">
        <f>IFERROR(C35/C$41,"")</f>
        <v/>
      </c>
      <c r="E35" s="18">
        <f>IF(L$11="All",IFERROR(SUM(SUMIFS('Vendor Master Enrich'!$D:$D,INDEX('Vendor Master Enrich'!$A:$ZZ,,MATCH($A35&amp;" Certification",'Vendor Master Enrich'!$A$1:$ZZ$1,0)),"Yes",'Vendor Master Enrich'!$B:$B,$L$10&amp;E$14)),0),IFERROR(SUM(SUMIFS('Vendor Master Enrich'!$D:$D,INDEX('Vendor Master Enrich'!$A:$ZZ,,MATCH($A35&amp;" Certification",'Vendor Master Enrich'!$A$1:$ZZ$1,0)),"Yes",'Vendor Master Enrich'!$B:$B,$L$10&amp;E$14,'Vendor Master Enrich'!J:J,"United States")),0))</f>
        <v>0</v>
      </c>
      <c r="F35" s="40" t="str">
        <f>IFERROR(E35/E$41,"")</f>
        <v/>
      </c>
      <c r="G35" s="18">
        <f>IF(L$11="All",IFERROR(SUM(SUMIFS('Vendor Master Enrich'!$D:$D,INDEX('Vendor Master Enrich'!$A:$ZZ,,MATCH($A35&amp;" Certification",'Vendor Master Enrich'!$A$1:$ZZ$1,0)),"Yes",'Vendor Master Enrich'!$B:$B,$L$10&amp;G$14)),0),IFERROR(SUM(SUMIFS('Vendor Master Enrich'!$D:$D,INDEX('Vendor Master Enrich'!$A:$ZZ,,MATCH($A35&amp;" Certification",'Vendor Master Enrich'!$A$1:$ZZ$1,0)),"Yes",'Vendor Master Enrich'!$B:$B,$L$10&amp;G$14,'Vendor Master Enrich'!J:J,"United States")),0))</f>
        <v>0</v>
      </c>
      <c r="H35" s="40" t="str">
        <f>IFERROR(G35/G$41,"")</f>
        <v/>
      </c>
      <c r="I35" s="18">
        <f>IF(L$11="All",IFERROR(SUM(SUMIFS('Vendor Master Enrich'!$D:$D,INDEX('Vendor Master Enrich'!$A:$ZZ,,MATCH($A35&amp;" Certification",'Vendor Master Enrich'!$A$1:$ZZ$1,0)),"Yes",'Vendor Master Enrich'!$B:$B,$L$10&amp;I$14)),0),IFERROR(SUM(SUMIFS('Vendor Master Enrich'!$D:$D,INDEX('Vendor Master Enrich'!$A:$ZZ,,MATCH($A35&amp;" Certification",'Vendor Master Enrich'!$A$1:$ZZ$1,0)),"Yes",'Vendor Master Enrich'!$B:$B,$L$10&amp;I$14,'Vendor Master Enrich'!J:J,"United States")),0))</f>
        <v>0</v>
      </c>
      <c r="J35" s="40" t="str">
        <f>IFERROR(I35/I$41,"")</f>
        <v/>
      </c>
      <c r="K35" s="18">
        <f t="shared" si="0"/>
        <v>0</v>
      </c>
      <c r="L35" s="40" t="str">
        <f>IFERROR(K35/K$41,"")</f>
        <v/>
      </c>
    </row>
    <row r="36" spans="1:13" x14ac:dyDescent="0.2">
      <c r="A36" s="27"/>
      <c r="B36" s="10" t="s">
        <v>49</v>
      </c>
      <c r="C36" s="18">
        <f>IF(L$11="All",IFERROR(SUM(SUMIFS('Vendor Master Enrich'!$D:$D,INDEX('Vendor Master Enrich'!$A:$ZZ,,MATCH($A36&amp;" Certification",'Vendor Master Enrich'!$A$1:$ZZ$1,0)),"Yes",'Vendor Master Enrich'!$B:$B,$L$10&amp;C$14)),0),IFERROR(SUM(SUMIFS('Vendor Master Enrich'!$D:$D,INDEX('Vendor Master Enrich'!$A:$ZZ,,MATCH($A36&amp;" Certification",'Vendor Master Enrich'!$A$1:$ZZ$1,0)),"Yes",'Vendor Master Enrich'!$B:$B,$L$10&amp;C$14,'Vendor Master Enrich'!J:J,"United States")),0))</f>
        <v>0</v>
      </c>
      <c r="D36" s="40" t="str">
        <f>IFERROR(C36/C$41,"")</f>
        <v/>
      </c>
      <c r="E36" s="18">
        <f>IF(L$11="All",IFERROR(SUM(SUMIFS('Vendor Master Enrich'!$D:$D,INDEX('Vendor Master Enrich'!$A:$ZZ,,MATCH($A36&amp;" Certification",'Vendor Master Enrich'!$A$1:$ZZ$1,0)),"Yes",'Vendor Master Enrich'!$B:$B,$L$10&amp;E$14)),0),IFERROR(SUM(SUMIFS('Vendor Master Enrich'!$D:$D,INDEX('Vendor Master Enrich'!$A:$ZZ,,MATCH($A36&amp;" Certification",'Vendor Master Enrich'!$A$1:$ZZ$1,0)),"Yes",'Vendor Master Enrich'!$B:$B,$L$10&amp;E$14,'Vendor Master Enrich'!J:J,"United States")),0))</f>
        <v>0</v>
      </c>
      <c r="F36" s="40" t="str">
        <f>IFERROR(E36/E$41,"")</f>
        <v/>
      </c>
      <c r="G36" s="18">
        <f>IF(L$11="All",IFERROR(SUM(SUMIFS('Vendor Master Enrich'!$D:$D,INDEX('Vendor Master Enrich'!$A:$ZZ,,MATCH($A36&amp;" Certification",'Vendor Master Enrich'!$A$1:$ZZ$1,0)),"Yes",'Vendor Master Enrich'!$B:$B,$L$10&amp;G$14)),0),IFERROR(SUM(SUMIFS('Vendor Master Enrich'!$D:$D,INDEX('Vendor Master Enrich'!$A:$ZZ,,MATCH($A36&amp;" Certification",'Vendor Master Enrich'!$A$1:$ZZ$1,0)),"Yes",'Vendor Master Enrich'!$B:$B,$L$10&amp;G$14,'Vendor Master Enrich'!J:J,"United States")),0))</f>
        <v>0</v>
      </c>
      <c r="H36" s="40" t="str">
        <f>IFERROR(G36/G$41,"")</f>
        <v/>
      </c>
      <c r="I36" s="18">
        <f>IF(L$11="All",IFERROR(SUM(SUMIFS('Vendor Master Enrich'!$D:$D,INDEX('Vendor Master Enrich'!$A:$ZZ,,MATCH($A36&amp;" Certification",'Vendor Master Enrich'!$A$1:$ZZ$1,0)),"Yes",'Vendor Master Enrich'!$B:$B,$L$10&amp;I$14)),0),IFERROR(SUM(SUMIFS('Vendor Master Enrich'!$D:$D,INDEX('Vendor Master Enrich'!$A:$ZZ,,MATCH($A36&amp;" Certification",'Vendor Master Enrich'!$A$1:$ZZ$1,0)),"Yes",'Vendor Master Enrich'!$B:$B,$L$10&amp;I$14,'Vendor Master Enrich'!J:J,"United States")),0))</f>
        <v>0</v>
      </c>
      <c r="J36" s="40" t="str">
        <f>IFERROR(I36/I$41,"")</f>
        <v/>
      </c>
      <c r="K36" s="18"/>
      <c r="L36" s="40"/>
    </row>
    <row r="37" spans="1:13" x14ac:dyDescent="0.2">
      <c r="A37" s="27" t="s">
        <v>50</v>
      </c>
      <c r="B37" s="10" t="s">
        <v>51</v>
      </c>
      <c r="C37" s="18">
        <f>IF(L$11="All",IFERROR(SUM(SUMIFS('Vendor Master Enrich'!$D:$D,INDEX('Vendor Master Enrich'!$A:$ZZ,,MATCH($A37&amp;" Certification",'Vendor Master Enrich'!$A$1:$ZZ$1,0)),"Yes",'Vendor Master Enrich'!$B:$B,$L$10&amp;C$14)),0),IFERROR(SUM(SUMIFS('Vendor Master Enrich'!$D:$D,INDEX('Vendor Master Enrich'!$A:$ZZ,,MATCH($A37&amp;" Certification",'Vendor Master Enrich'!$A$1:$ZZ$1,0)),"Yes",'Vendor Master Enrich'!$B:$B,$L$10&amp;C$14,'Vendor Master Enrich'!J:J,"United States")),0))</f>
        <v>0</v>
      </c>
      <c r="D37" s="40" t="str">
        <f>IFERROR(C37/C$41,"")</f>
        <v/>
      </c>
      <c r="E37" s="18">
        <f>IF(L$11="All",IFERROR(SUM(SUMIFS('Vendor Master Enrich'!$D:$D,INDEX('Vendor Master Enrich'!$A:$ZZ,,MATCH($A37&amp;" Certification",'Vendor Master Enrich'!$A$1:$ZZ$1,0)),"Yes",'Vendor Master Enrich'!$B:$B,$L$10&amp;E$14)),0),IFERROR(SUM(SUMIFS('Vendor Master Enrich'!$D:$D,INDEX('Vendor Master Enrich'!$A:$ZZ,,MATCH($A37&amp;" Certification",'Vendor Master Enrich'!$A$1:$ZZ$1,0)),"Yes",'Vendor Master Enrich'!$B:$B,$L$10&amp;E$14,'Vendor Master Enrich'!J:J,"United States")),0))</f>
        <v>0</v>
      </c>
      <c r="F37" s="40" t="str">
        <f>IFERROR(E37/E$41,"")</f>
        <v/>
      </c>
      <c r="G37" s="18">
        <f>IF(L$11="All",IFERROR(SUM(SUMIFS('Vendor Master Enrich'!$D:$D,INDEX('Vendor Master Enrich'!$A:$ZZ,,MATCH($A37&amp;" Certification",'Vendor Master Enrich'!$A$1:$ZZ$1,0)),"Yes",'Vendor Master Enrich'!$B:$B,$L$10&amp;G$14)),0),IFERROR(SUM(SUMIFS('Vendor Master Enrich'!$D:$D,INDEX('Vendor Master Enrich'!$A:$ZZ,,MATCH($A37&amp;" Certification",'Vendor Master Enrich'!$A$1:$ZZ$1,0)),"Yes",'Vendor Master Enrich'!$B:$B,$L$10&amp;G$14,'Vendor Master Enrich'!J:J,"United States")),0))</f>
        <v>0</v>
      </c>
      <c r="H37" s="40" t="str">
        <f>IFERROR(G37/G$41,"")</f>
        <v/>
      </c>
      <c r="I37" s="18">
        <f>IF(L$11="All",IFERROR(SUM(SUMIFS('Vendor Master Enrich'!$D:$D,INDEX('Vendor Master Enrich'!$A:$ZZ,,MATCH($A37&amp;" Certification",'Vendor Master Enrich'!$A$1:$ZZ$1,0)),"Yes",'Vendor Master Enrich'!$B:$B,$L$10&amp;I$14)),0),IFERROR(SUM(SUMIFS('Vendor Master Enrich'!$D:$D,INDEX('Vendor Master Enrich'!$A:$ZZ,,MATCH($A37&amp;" Certification",'Vendor Master Enrich'!$A$1:$ZZ$1,0)),"Yes",'Vendor Master Enrich'!$B:$B,$L$10&amp;I$14,'Vendor Master Enrich'!J:J,"United States")),0))</f>
        <v>0</v>
      </c>
      <c r="J37" s="40" t="str">
        <f>IFERROR(I37/I$41,"")</f>
        <v/>
      </c>
      <c r="K37" s="18">
        <f>I37+G37+E37+C37</f>
        <v>0</v>
      </c>
      <c r="L37" s="40" t="str">
        <f>IFERROR(K37/K$41,"")</f>
        <v/>
      </c>
    </row>
    <row r="38" spans="1:13" x14ac:dyDescent="0.2">
      <c r="A38" s="27"/>
      <c r="B38" s="10" t="s">
        <v>165</v>
      </c>
      <c r="C38" s="18">
        <f>IF(L$11="All",IFERROR(SUM(SUMIFS('Vendor Master Enrich'!$D:$D,INDEX('Vendor Master Enrich'!$A:$ZZ,,MATCH($A38&amp;" Certification",'Vendor Master Enrich'!$A$1:$ZZ$1,0)),"Yes",'Vendor Master Enrich'!$B:$B,$L$10&amp;C$14)),0),IFERROR(SUM(SUMIFS('Vendor Master Enrich'!$D:$D,INDEX('Vendor Master Enrich'!$A:$ZZ,,MATCH($A38&amp;" Certification",'Vendor Master Enrich'!$A$1:$ZZ$1,0)),"Yes",'Vendor Master Enrich'!$B:$B,$L$10&amp;C$14,'Vendor Master Enrich'!J:J,"United States")),0))</f>
        <v>0</v>
      </c>
      <c r="D38" s="40" t="str">
        <f>IFERROR(C38/C$41,"")</f>
        <v/>
      </c>
      <c r="E38" s="18">
        <f>IF(L$11="All",IFERROR(SUM(SUMIFS('Vendor Master Enrich'!$D:$D,INDEX('Vendor Master Enrich'!$A:$ZZ,,MATCH($A38&amp;" Certification",'Vendor Master Enrich'!$A$1:$ZZ$1,0)),"Yes",'Vendor Master Enrich'!$B:$B,$L$10&amp;E$14)),0),IFERROR(SUM(SUMIFS('Vendor Master Enrich'!$D:$D,INDEX('Vendor Master Enrich'!$A:$ZZ,,MATCH($A38&amp;" Certification",'Vendor Master Enrich'!$A$1:$ZZ$1,0)),"Yes",'Vendor Master Enrich'!$B:$B,$L$10&amp;E$14,'Vendor Master Enrich'!J:J,"United States")),0))</f>
        <v>0</v>
      </c>
      <c r="F38" s="40" t="str">
        <f>IFERROR(E38/E$41,"")</f>
        <v/>
      </c>
      <c r="G38" s="18">
        <f>IF(L$11="All",IFERROR(SUM(SUMIFS('Vendor Master Enrich'!$D:$D,INDEX('Vendor Master Enrich'!$A:$ZZ,,MATCH($A38&amp;" Certification",'Vendor Master Enrich'!$A$1:$ZZ$1,0)),"Yes",'Vendor Master Enrich'!$B:$B,$L$10&amp;G$14)),0),IFERROR(SUM(SUMIFS('Vendor Master Enrich'!$D:$D,INDEX('Vendor Master Enrich'!$A:$ZZ,,MATCH($A38&amp;" Certification",'Vendor Master Enrich'!$A$1:$ZZ$1,0)),"Yes",'Vendor Master Enrich'!$B:$B,$L$10&amp;G$14,'Vendor Master Enrich'!J:J,"United States")),0))</f>
        <v>0</v>
      </c>
      <c r="H38" s="40" t="str">
        <f>IFERROR(G38/G$41,"")</f>
        <v/>
      </c>
      <c r="I38" s="18">
        <f>IF(L$11="All",IFERROR(SUM(SUMIFS('Vendor Master Enrich'!$D:$D,INDEX('Vendor Master Enrich'!$A:$ZZ,,MATCH($A38&amp;" Certification",'Vendor Master Enrich'!$A$1:$ZZ$1,0)),"Yes",'Vendor Master Enrich'!$B:$B,$L$10&amp;I$14)),0),IFERROR(SUM(SUMIFS('Vendor Master Enrich'!$D:$D,INDEX('Vendor Master Enrich'!$A:$ZZ,,MATCH($A38&amp;" Certification",'Vendor Master Enrich'!$A$1:$ZZ$1,0)),"Yes",'Vendor Master Enrich'!$B:$B,$L$10&amp;I$14,'Vendor Master Enrich'!J:J,"United States")),0))</f>
        <v>0</v>
      </c>
      <c r="J38" s="40" t="str">
        <f>IFERROR(I38/I$41,"")</f>
        <v/>
      </c>
      <c r="K38" s="18">
        <f>I38+G38+E38+C38</f>
        <v>0</v>
      </c>
      <c r="L38" s="40" t="str">
        <f>IFERROR(K38/K$41,"")</f>
        <v/>
      </c>
    </row>
    <row r="39" spans="1:13" x14ac:dyDescent="0.2">
      <c r="A39" s="27" t="s">
        <v>52</v>
      </c>
      <c r="B39" s="10" t="s">
        <v>53</v>
      </c>
      <c r="C39" s="18">
        <f>IF(L$11="All",IFERROR(SUM(SUMIFS('Vendor Master Enrich'!$D:$D,INDEX('Vendor Master Enrich'!$A:$ZZ,,MATCH($A39&amp;" Certification",'Vendor Master Enrich'!$A$1:$ZZ$1,0)),"Yes",'Vendor Master Enrich'!$B:$B,$L$10&amp;C$14)),0),IFERROR(SUM(SUMIFS('Vendor Master Enrich'!$D:$D,INDEX('Vendor Master Enrich'!$A:$ZZ,,MATCH($A39&amp;" Certification",'Vendor Master Enrich'!$A$1:$ZZ$1,0)),"Yes",'Vendor Master Enrich'!$B:$B,$L$10&amp;C$14,'Vendor Master Enrich'!J:J,"United States")),0))</f>
        <v>0</v>
      </c>
      <c r="D39" s="40" t="str">
        <f>IFERROR(C39/C$41,"")</f>
        <v/>
      </c>
      <c r="E39" s="18">
        <f>IF(L$11="All",IFERROR(SUM(SUMIFS('Vendor Master Enrich'!$D:$D,INDEX('Vendor Master Enrich'!$A:$ZZ,,MATCH($A39&amp;" Certification",'Vendor Master Enrich'!$A$1:$ZZ$1,0)),"Yes",'Vendor Master Enrich'!$B:$B,$L$10&amp;E$14)),0),IFERROR(SUM(SUMIFS('Vendor Master Enrich'!$D:$D,INDEX('Vendor Master Enrich'!$A:$ZZ,,MATCH($A39&amp;" Certification",'Vendor Master Enrich'!$A$1:$ZZ$1,0)),"Yes",'Vendor Master Enrich'!$B:$B,$L$10&amp;E$14,'Vendor Master Enrich'!J:J,"United States")),0))</f>
        <v>0</v>
      </c>
      <c r="F39" s="40" t="str">
        <f>IFERROR(E39/E$41,"")</f>
        <v/>
      </c>
      <c r="G39" s="18">
        <f>IF(L$11="All",IFERROR(SUM(SUMIFS('Vendor Master Enrich'!$D:$D,INDEX('Vendor Master Enrich'!$A:$ZZ,,MATCH($A39&amp;" Certification",'Vendor Master Enrich'!$A$1:$ZZ$1,0)),"Yes",'Vendor Master Enrich'!$B:$B,$L$10&amp;G$14)),0),IFERROR(SUM(SUMIFS('Vendor Master Enrich'!$D:$D,INDEX('Vendor Master Enrich'!$A:$ZZ,,MATCH($A39&amp;" Certification",'Vendor Master Enrich'!$A$1:$ZZ$1,0)),"Yes",'Vendor Master Enrich'!$B:$B,$L$10&amp;G$14,'Vendor Master Enrich'!J:J,"United States")),0))</f>
        <v>0</v>
      </c>
      <c r="H39" s="40" t="str">
        <f>IFERROR(G39/G$41,"")</f>
        <v/>
      </c>
      <c r="I39" s="18">
        <f>IF(L$11="All",IFERROR(SUM(SUMIFS('Vendor Master Enrich'!$D:$D,INDEX('Vendor Master Enrich'!$A:$ZZ,,MATCH($A39&amp;" Certification",'Vendor Master Enrich'!$A$1:$ZZ$1,0)),"Yes",'Vendor Master Enrich'!$B:$B,$L$10&amp;I$14)),0),IFERROR(SUM(SUMIFS('Vendor Master Enrich'!$D:$D,INDEX('Vendor Master Enrich'!$A:$ZZ,,MATCH($A39&amp;" Certification",'Vendor Master Enrich'!$A$1:$ZZ$1,0)),"Yes",'Vendor Master Enrich'!$B:$B,$L$10&amp;I$14,'Vendor Master Enrich'!J:J,"United States")),0))</f>
        <v>0</v>
      </c>
      <c r="J39" s="40" t="str">
        <f>IFERROR(I39/I$41,"")</f>
        <v/>
      </c>
      <c r="K39" s="18">
        <f>I39+G39+E39+C39</f>
        <v>0</v>
      </c>
      <c r="L39" s="40" t="str">
        <f>IFERROR(K39/K$41,"")</f>
        <v/>
      </c>
    </row>
    <row r="40" spans="1:13" x14ac:dyDescent="0.2">
      <c r="A40" s="27" t="s">
        <v>54</v>
      </c>
      <c r="B40" s="10" t="s">
        <v>55</v>
      </c>
      <c r="C40" s="18">
        <f>IF(L$11="All",IFERROR(SUM(SUMIFS('Vendor Master Enrich'!$D:$D,INDEX('Vendor Master Enrich'!$A:$ZZ,,MATCH($A40&amp;" Certification",'Vendor Master Enrich'!$A$1:$ZZ$1,0)),"Yes",'Vendor Master Enrich'!$B:$B,$L$10&amp;C$14)),0),IFERROR(SUM(SUMIFS('Vendor Master Enrich'!$D:$D,INDEX('Vendor Master Enrich'!$A:$ZZ,,MATCH($A40&amp;" Certification",'Vendor Master Enrich'!$A$1:$ZZ$1,0)),"Yes",'Vendor Master Enrich'!$B:$B,$L$10&amp;C$14,'Vendor Master Enrich'!J:J,"United States")),0))</f>
        <v>0</v>
      </c>
      <c r="D40" s="40" t="str">
        <f>IFERROR(C40/C$41,"")</f>
        <v/>
      </c>
      <c r="E40" s="18">
        <f>IF(L$11="All",IFERROR(SUM(SUMIFS('Vendor Master Enrich'!$D:$D,INDEX('Vendor Master Enrich'!$A:$ZZ,,MATCH($A40&amp;" Certification",'Vendor Master Enrich'!$A$1:$ZZ$1,0)),"Yes",'Vendor Master Enrich'!$B:$B,$L$10&amp;E$14)),0),IFERROR(SUM(SUMIFS('Vendor Master Enrich'!$D:$D,INDEX('Vendor Master Enrich'!$A:$ZZ,,MATCH($A40&amp;" Certification",'Vendor Master Enrich'!$A$1:$ZZ$1,0)),"Yes",'Vendor Master Enrich'!$B:$B,$L$10&amp;E$14,'Vendor Master Enrich'!J:J,"United States")),0))</f>
        <v>0</v>
      </c>
      <c r="F40" s="40" t="str">
        <f>IFERROR(E40/E$41,"")</f>
        <v/>
      </c>
      <c r="G40" s="18">
        <f>IF(L$11="All",IFERROR(SUM(SUMIFS('Vendor Master Enrich'!$D:$D,INDEX('Vendor Master Enrich'!$A:$ZZ,,MATCH($A40&amp;" Certification",'Vendor Master Enrich'!$A$1:$ZZ$1,0)),"Yes",'Vendor Master Enrich'!$B:$B,$L$10&amp;G$14)),0),IFERROR(SUM(SUMIFS('Vendor Master Enrich'!$D:$D,INDEX('Vendor Master Enrich'!$A:$ZZ,,MATCH($A40&amp;" Certification",'Vendor Master Enrich'!$A$1:$ZZ$1,0)),"Yes",'Vendor Master Enrich'!$B:$B,$L$10&amp;G$14,'Vendor Master Enrich'!J:J,"United States")),0))</f>
        <v>0</v>
      </c>
      <c r="H40" s="40" t="str">
        <f>IFERROR(G40/G$41,"")</f>
        <v/>
      </c>
      <c r="I40" s="18">
        <f>IF(L$11="All",IFERROR(SUM(SUMIFS('Vendor Master Enrich'!$D:$D,INDEX('Vendor Master Enrich'!$A:$ZZ,,MATCH($A40&amp;" Certification",'Vendor Master Enrich'!$A$1:$ZZ$1,0)),"Yes",'Vendor Master Enrich'!$B:$B,$L$10&amp;I$14)),0),IFERROR(SUM(SUMIFS('Vendor Master Enrich'!$D:$D,INDEX('Vendor Master Enrich'!$A:$ZZ,,MATCH($A40&amp;" Certification",'Vendor Master Enrich'!$A$1:$ZZ$1,0)),"Yes",'Vendor Master Enrich'!$B:$B,$L$10&amp;I$14,'Vendor Master Enrich'!J:J,"United States")),0))</f>
        <v>0</v>
      </c>
      <c r="J40" s="40" t="str">
        <f>IFERROR(I40/I$41,"")</f>
        <v/>
      </c>
      <c r="K40" s="18">
        <f>I40+G40+E40+C40</f>
        <v>0</v>
      </c>
      <c r="L40" s="40" t="str">
        <f>IFERROR(K40/K$41,"")</f>
        <v/>
      </c>
    </row>
    <row r="41" spans="1:13" x14ac:dyDescent="0.2">
      <c r="B41" s="3" t="s">
        <v>56</v>
      </c>
      <c r="C41" s="21">
        <f>SUM(C25:C40)</f>
        <v>0</v>
      </c>
      <c r="D41" s="41" t="str">
        <f>IFERROR(C41/C$41,"")</f>
        <v/>
      </c>
      <c r="E41" s="21">
        <f>SUM(E25:E40)</f>
        <v>0</v>
      </c>
      <c r="F41" s="41" t="str">
        <f>IFERROR(E41/E$41,"")</f>
        <v/>
      </c>
      <c r="G41" s="21">
        <f>SUM(G25:G40)</f>
        <v>0</v>
      </c>
      <c r="H41" s="41" t="str">
        <f>IFERROR(G41/G$41,"")</f>
        <v/>
      </c>
      <c r="I41" s="21">
        <f>SUM(I25:I40)</f>
        <v>0</v>
      </c>
      <c r="J41" s="41" t="str">
        <f>IFERROR(I41/I$41,"")</f>
        <v/>
      </c>
      <c r="K41" s="21">
        <f>SUM(K25:K40)</f>
        <v>0</v>
      </c>
      <c r="L41" s="41" t="str">
        <f>IFERROR(K41/K$41,"")</f>
        <v/>
      </c>
    </row>
    <row r="43" spans="1:13" ht="85" customHeight="1" x14ac:dyDescent="0.2">
      <c r="B43" s="6" t="s">
        <v>57</v>
      </c>
      <c r="C43" s="129" t="s">
        <v>16</v>
      </c>
      <c r="D43" s="130"/>
      <c r="E43" s="129" t="s">
        <v>17</v>
      </c>
      <c r="F43" s="130"/>
      <c r="G43" s="129" t="s">
        <v>18</v>
      </c>
      <c r="H43" s="130"/>
      <c r="I43" s="129" t="s">
        <v>19</v>
      </c>
      <c r="J43" s="130"/>
      <c r="K43" s="129" t="s">
        <v>20</v>
      </c>
      <c r="L43" s="130"/>
      <c r="M43" s="55" t="s">
        <v>58</v>
      </c>
    </row>
    <row r="44" spans="1:13" x14ac:dyDescent="0.2">
      <c r="A44" s="27" t="s">
        <v>27</v>
      </c>
      <c r="B44" s="9" t="s">
        <v>28</v>
      </c>
      <c r="C44" s="18">
        <f>IF(L$11="All",IFERROR(SUM(SUMIFS('Vendor Master Enrich'!$D:$D,INDEX('Vendor Master Enrich'!$A:$ZZ,,MATCH("Cust Prioritized",'Vendor Master Enrich'!$A$1:$ZZ$1,0)),$A44,'Vendor Master Enrich'!$B:$B,$L$10&amp;C$14)),0),IFERROR(SUM(SUMIFS('Vendor Master Enrich'!$D:$D,INDEX('Vendor Master Enrich'!$A:$ZZ,,MATCH("Cust Prioritized",'Vendor Master Enrich'!$A$1:$ZZ$1,0)),$A44,'Vendor Master Enrich'!$B:$B,$L$10&amp;C$14,'Vendor Master Enrich'!J:J,"United States")),0))</f>
        <v>0</v>
      </c>
      <c r="D44" s="40" t="str">
        <f t="shared" ref="D44:D59" si="1">IFERROR(C44/C$59,"")</f>
        <v/>
      </c>
      <c r="E44" s="18">
        <f>IF(L$11="All",IFERROR(SUM(SUMIFS('Vendor Master Enrich'!$D:$D,INDEX('Vendor Master Enrich'!$A:$ZZ,,MATCH("Cust Prioritized",'Vendor Master Enrich'!$A$1:$ZZ$1,0)),$A44,'Vendor Master Enrich'!$B:$B,$L$10&amp;E$14)),0),IFERROR(SUM(SUMIFS('Vendor Master Enrich'!$D:$D,INDEX('Vendor Master Enrich'!$A:$ZZ,,MATCH("Cust Prioritized",'Vendor Master Enrich'!$A$1:$ZZ$1,0)),$A44,'Vendor Master Enrich'!$B:$B,$L$10&amp;E$14,'Vendor Master Enrich'!J:J,"United States")),0))</f>
        <v>0</v>
      </c>
      <c r="F44" s="40" t="str">
        <f t="shared" ref="F44:F59" si="2">IFERROR(E44/E$59,"")</f>
        <v/>
      </c>
      <c r="G44" s="18">
        <f>IF(L$11="All",IFERROR(SUM(SUMIFS('Vendor Master Enrich'!$D:$D,INDEX('Vendor Master Enrich'!$A:$ZZ,,MATCH("Cust Prioritized",'Vendor Master Enrich'!$A$1:$ZZ$1,0)),$A44,'Vendor Master Enrich'!$B:$B,$L$10&amp;G$14)),0),IFERROR(SUM(SUMIFS('Vendor Master Enrich'!$D:$D,INDEX('Vendor Master Enrich'!$A:$ZZ,,MATCH("Cust Prioritized",'Vendor Master Enrich'!$A$1:$ZZ$1,0)),$A44,'Vendor Master Enrich'!$B:$B,$L$10&amp;G$14,'Vendor Master Enrich'!J:J,"United States")),0))</f>
        <v>0</v>
      </c>
      <c r="H44" s="40" t="str">
        <f t="shared" ref="H44:H59" si="3">IFERROR(G44/G$59,"")</f>
        <v/>
      </c>
      <c r="I44" s="18">
        <f>IF(L$11="All",IFERROR(SUM(SUMIFS('Vendor Master Enrich'!$D:$D,INDEX('Vendor Master Enrich'!$A:$ZZ,,MATCH("Cust Prioritized",'Vendor Master Enrich'!$A$1:$ZZ$1,0)),$A44,'Vendor Master Enrich'!$B:$B,$L$10&amp;I$14)),0),IFERROR(SUM(SUMIFS('Vendor Master Enrich'!$D:$D,INDEX('Vendor Master Enrich'!$A:$ZZ,,MATCH("Cust Prioritized",'Vendor Master Enrich'!$A$1:$ZZ$1,0)),$A44,'Vendor Master Enrich'!$B:$B,$L$10&amp;I$14,'Vendor Master Enrich'!J:J,"United States")),0))</f>
        <v>0</v>
      </c>
      <c r="J44" s="40" t="str">
        <f t="shared" ref="J44:J59" si="4">IFERROR(I44/I$59,"")</f>
        <v/>
      </c>
      <c r="K44" s="18">
        <f t="shared" ref="K44:K58" si="5">I44+G44+E44+C44</f>
        <v>0</v>
      </c>
      <c r="L44" s="40" t="str">
        <f t="shared" ref="L44:L59" si="6">IFERROR(K44/K$59,"")</f>
        <v/>
      </c>
    </row>
    <row r="45" spans="1:13" x14ac:dyDescent="0.2">
      <c r="A45" s="27" t="s">
        <v>29</v>
      </c>
      <c r="B45" s="10" t="s">
        <v>30</v>
      </c>
      <c r="C45" s="18">
        <f>IF(L$11="All",IFERROR(SUM(SUMIFS('Vendor Master Enrich'!$D:$D,INDEX('Vendor Master Enrich'!$A:$ZZ,,MATCH("Cust Prioritized",'Vendor Master Enrich'!$A$1:$ZZ$1,0)),$A45,'Vendor Master Enrich'!$B:$B,$L$10&amp;C$14)),0),IFERROR(SUM(SUMIFS('Vendor Master Enrich'!$D:$D,INDEX('Vendor Master Enrich'!$A:$ZZ,,MATCH("Cust Prioritized",'Vendor Master Enrich'!$A$1:$ZZ$1,0)),$A45,'Vendor Master Enrich'!$B:$B,$L$10&amp;C$14,'Vendor Master Enrich'!J:J,"United States")),0))</f>
        <v>0</v>
      </c>
      <c r="D45" s="40" t="str">
        <f t="shared" si="1"/>
        <v/>
      </c>
      <c r="E45" s="18">
        <f>IF(L$11="All",IFERROR(SUM(SUMIFS('Vendor Master Enrich'!$D:$D,INDEX('Vendor Master Enrich'!$A:$ZZ,,MATCH("Cust Prioritized",'Vendor Master Enrich'!$A$1:$ZZ$1,0)),$A45,'Vendor Master Enrich'!$B:$B,$L$10&amp;E$14)),0),IFERROR(SUM(SUMIFS('Vendor Master Enrich'!$D:$D,INDEX('Vendor Master Enrich'!$A:$ZZ,,MATCH("Cust Prioritized",'Vendor Master Enrich'!$A$1:$ZZ$1,0)),$A45,'Vendor Master Enrich'!$B:$B,$L$10&amp;E$14,'Vendor Master Enrich'!J:J,"United States")),0))</f>
        <v>0</v>
      </c>
      <c r="F45" s="40" t="str">
        <f t="shared" si="2"/>
        <v/>
      </c>
      <c r="G45" s="18">
        <f>IF(L$11="All",IFERROR(SUM(SUMIFS('Vendor Master Enrich'!$D:$D,INDEX('Vendor Master Enrich'!$A:$ZZ,,MATCH("Cust Prioritized",'Vendor Master Enrich'!$A$1:$ZZ$1,0)),$A45,'Vendor Master Enrich'!$B:$B,$L$10&amp;G$14)),0),IFERROR(SUM(SUMIFS('Vendor Master Enrich'!$D:$D,INDEX('Vendor Master Enrich'!$A:$ZZ,,MATCH("Cust Prioritized",'Vendor Master Enrich'!$A$1:$ZZ$1,0)),$A45,'Vendor Master Enrich'!$B:$B,$L$10&amp;G$14,'Vendor Master Enrich'!J:J,"United States")),0))</f>
        <v>0</v>
      </c>
      <c r="H45" s="40" t="str">
        <f t="shared" si="3"/>
        <v/>
      </c>
      <c r="I45" s="18">
        <f>IF(L$11="All",IFERROR(SUM(SUMIFS('Vendor Master Enrich'!$D:$D,INDEX('Vendor Master Enrich'!$A:$ZZ,,MATCH("Cust Prioritized",'Vendor Master Enrich'!$A$1:$ZZ$1,0)),$A45,'Vendor Master Enrich'!$B:$B,$L$10&amp;I$14)),0),IFERROR(SUM(SUMIFS('Vendor Master Enrich'!$D:$D,INDEX('Vendor Master Enrich'!$A:$ZZ,,MATCH("Cust Prioritized",'Vendor Master Enrich'!$A$1:$ZZ$1,0)),$A45,'Vendor Master Enrich'!$B:$B,$L$10&amp;I$14,'Vendor Master Enrich'!J:J,"United States")),0))</f>
        <v>0</v>
      </c>
      <c r="J45" s="40" t="str">
        <f t="shared" si="4"/>
        <v/>
      </c>
      <c r="K45" s="18">
        <f t="shared" si="5"/>
        <v>0</v>
      </c>
      <c r="L45" s="40" t="str">
        <f t="shared" si="6"/>
        <v/>
      </c>
    </row>
    <row r="46" spans="1:13" x14ac:dyDescent="0.2">
      <c r="A46" s="27" t="s">
        <v>31</v>
      </c>
      <c r="B46" s="10" t="s">
        <v>32</v>
      </c>
      <c r="C46" s="18">
        <f>IF(L$11="All",IFERROR(SUM(SUMIFS('Vendor Master Enrich'!$D:$D,INDEX('Vendor Master Enrich'!$A:$ZZ,,MATCH("Cust Prioritized",'Vendor Master Enrich'!$A$1:$ZZ$1,0)),$A46,'Vendor Master Enrich'!$B:$B,$L$10&amp;C$14)),0),IFERROR(SUM(SUMIFS('Vendor Master Enrich'!$D:$D,INDEX('Vendor Master Enrich'!$A:$ZZ,,MATCH("Cust Prioritized",'Vendor Master Enrich'!$A$1:$ZZ$1,0)),$A46,'Vendor Master Enrich'!$B:$B,$L$10&amp;C$14,'Vendor Master Enrich'!J:J,"United States")),0))</f>
        <v>0</v>
      </c>
      <c r="D46" s="40" t="str">
        <f t="shared" si="1"/>
        <v/>
      </c>
      <c r="E46" s="18">
        <f>IF(L$11="All",IFERROR(SUM(SUMIFS('Vendor Master Enrich'!$D:$D,INDEX('Vendor Master Enrich'!$A:$ZZ,,MATCH("Cust Prioritized",'Vendor Master Enrich'!$A$1:$ZZ$1,0)),$A46,'Vendor Master Enrich'!$B:$B,$L$10&amp;E$14)),0),IFERROR(SUM(SUMIFS('Vendor Master Enrich'!$D:$D,INDEX('Vendor Master Enrich'!$A:$ZZ,,MATCH("Cust Prioritized",'Vendor Master Enrich'!$A$1:$ZZ$1,0)),$A46,'Vendor Master Enrich'!$B:$B,$L$10&amp;E$14,'Vendor Master Enrich'!J:J,"United States")),0))</f>
        <v>0</v>
      </c>
      <c r="F46" s="40" t="str">
        <f t="shared" si="2"/>
        <v/>
      </c>
      <c r="G46" s="18">
        <f>IF(L$11="All",IFERROR(SUM(SUMIFS('Vendor Master Enrich'!$D:$D,INDEX('Vendor Master Enrich'!$A:$ZZ,,MATCH("Cust Prioritized",'Vendor Master Enrich'!$A$1:$ZZ$1,0)),$A46,'Vendor Master Enrich'!$B:$B,$L$10&amp;G$14)),0),IFERROR(SUM(SUMIFS('Vendor Master Enrich'!$D:$D,INDEX('Vendor Master Enrich'!$A:$ZZ,,MATCH("Cust Prioritized",'Vendor Master Enrich'!$A$1:$ZZ$1,0)),$A46,'Vendor Master Enrich'!$B:$B,$L$10&amp;G$14,'Vendor Master Enrich'!J:J,"United States")),0))</f>
        <v>0</v>
      </c>
      <c r="H46" s="40" t="str">
        <f t="shared" si="3"/>
        <v/>
      </c>
      <c r="I46" s="18">
        <f>IF(L$11="All",IFERROR(SUM(SUMIFS('Vendor Master Enrich'!$D:$D,INDEX('Vendor Master Enrich'!$A:$ZZ,,MATCH("Cust Prioritized",'Vendor Master Enrich'!$A$1:$ZZ$1,0)),$A46,'Vendor Master Enrich'!$B:$B,$L$10&amp;I$14)),0),IFERROR(SUM(SUMIFS('Vendor Master Enrich'!$D:$D,INDEX('Vendor Master Enrich'!$A:$ZZ,,MATCH("Cust Prioritized",'Vendor Master Enrich'!$A$1:$ZZ$1,0)),$A46,'Vendor Master Enrich'!$B:$B,$L$10&amp;I$14,'Vendor Master Enrich'!J:J,"United States")),0))</f>
        <v>0</v>
      </c>
      <c r="J46" s="40" t="str">
        <f t="shared" si="4"/>
        <v/>
      </c>
      <c r="K46" s="18">
        <f t="shared" si="5"/>
        <v>0</v>
      </c>
      <c r="L46" s="40" t="str">
        <f t="shared" si="6"/>
        <v/>
      </c>
    </row>
    <row r="47" spans="1:13" x14ac:dyDescent="0.2">
      <c r="A47" s="27" t="s">
        <v>33</v>
      </c>
      <c r="B47" s="10" t="s">
        <v>34</v>
      </c>
      <c r="C47" s="18">
        <f>IF(L$11="All",IFERROR(SUM(SUMIFS('Vendor Master Enrich'!$D:$D,INDEX('Vendor Master Enrich'!$A:$ZZ,,MATCH("Cust Prioritized",'Vendor Master Enrich'!$A$1:$ZZ$1,0)),$A47,'Vendor Master Enrich'!$B:$B,$L$10&amp;C$14)),0),IFERROR(SUM(SUMIFS('Vendor Master Enrich'!$D:$D,INDEX('Vendor Master Enrich'!$A:$ZZ,,MATCH("Cust Prioritized",'Vendor Master Enrich'!$A$1:$ZZ$1,0)),$A47,'Vendor Master Enrich'!$B:$B,$L$10&amp;C$14,'Vendor Master Enrich'!J:J,"United States")),0))</f>
        <v>0</v>
      </c>
      <c r="D47" s="40" t="str">
        <f t="shared" si="1"/>
        <v/>
      </c>
      <c r="E47" s="18">
        <f>IF(L$11="All",IFERROR(SUM(SUMIFS('Vendor Master Enrich'!$D:$D,INDEX('Vendor Master Enrich'!$A:$ZZ,,MATCH("Cust Prioritized",'Vendor Master Enrich'!$A$1:$ZZ$1,0)),$A47,'Vendor Master Enrich'!$B:$B,$L$10&amp;E$14)),0),IFERROR(SUM(SUMIFS('Vendor Master Enrich'!$D:$D,INDEX('Vendor Master Enrich'!$A:$ZZ,,MATCH("Cust Prioritized",'Vendor Master Enrich'!$A$1:$ZZ$1,0)),$A47,'Vendor Master Enrich'!$B:$B,$L$10&amp;E$14,'Vendor Master Enrich'!J:J,"United States")),0))</f>
        <v>0</v>
      </c>
      <c r="F47" s="40" t="str">
        <f t="shared" si="2"/>
        <v/>
      </c>
      <c r="G47" s="18">
        <f>IF(L$11="All",IFERROR(SUM(SUMIFS('Vendor Master Enrich'!$D:$D,INDEX('Vendor Master Enrich'!$A:$ZZ,,MATCH("Cust Prioritized",'Vendor Master Enrich'!$A$1:$ZZ$1,0)),$A47,'Vendor Master Enrich'!$B:$B,$L$10&amp;G$14)),0),IFERROR(SUM(SUMIFS('Vendor Master Enrich'!$D:$D,INDEX('Vendor Master Enrich'!$A:$ZZ,,MATCH("Cust Prioritized",'Vendor Master Enrich'!$A$1:$ZZ$1,0)),$A47,'Vendor Master Enrich'!$B:$B,$L$10&amp;G$14,'Vendor Master Enrich'!J:J,"United States")),0))</f>
        <v>0</v>
      </c>
      <c r="H47" s="40" t="str">
        <f t="shared" si="3"/>
        <v/>
      </c>
      <c r="I47" s="18">
        <f>IF(L$11="All",IFERROR(SUM(SUMIFS('Vendor Master Enrich'!$D:$D,INDEX('Vendor Master Enrich'!$A:$ZZ,,MATCH("Cust Prioritized",'Vendor Master Enrich'!$A$1:$ZZ$1,0)),$A47,'Vendor Master Enrich'!$B:$B,$L$10&amp;I$14)),0),IFERROR(SUM(SUMIFS('Vendor Master Enrich'!$D:$D,INDEX('Vendor Master Enrich'!$A:$ZZ,,MATCH("Cust Prioritized",'Vendor Master Enrich'!$A$1:$ZZ$1,0)),$A47,'Vendor Master Enrich'!$B:$B,$L$10&amp;I$14,'Vendor Master Enrich'!J:J,"United States")),0))</f>
        <v>0</v>
      </c>
      <c r="J47" s="40" t="str">
        <f t="shared" si="4"/>
        <v/>
      </c>
      <c r="K47" s="18">
        <f t="shared" si="5"/>
        <v>0</v>
      </c>
      <c r="L47" s="40" t="str">
        <f t="shared" si="6"/>
        <v/>
      </c>
    </row>
    <row r="48" spans="1:13" x14ac:dyDescent="0.2">
      <c r="A48" s="27" t="s">
        <v>35</v>
      </c>
      <c r="B48" s="10" t="s">
        <v>36</v>
      </c>
      <c r="C48" s="18">
        <f>IF(L$11="All",IFERROR(SUM(SUMIFS('Vendor Master Enrich'!$D:$D,INDEX('Vendor Master Enrich'!$A:$ZZ,,MATCH("Cust Prioritized",'Vendor Master Enrich'!$A$1:$ZZ$1,0)),$A48,'Vendor Master Enrich'!$B:$B,$L$10&amp;C$14)),0),IFERROR(SUM(SUMIFS('Vendor Master Enrich'!$D:$D,INDEX('Vendor Master Enrich'!$A:$ZZ,,MATCH("Cust Prioritized",'Vendor Master Enrich'!$A$1:$ZZ$1,0)),$A48,'Vendor Master Enrich'!$B:$B,$L$10&amp;C$14,'Vendor Master Enrich'!J:J,"United States")),0))</f>
        <v>0</v>
      </c>
      <c r="D48" s="40" t="str">
        <f t="shared" si="1"/>
        <v/>
      </c>
      <c r="E48" s="18">
        <f>IF(L$11="All",IFERROR(SUM(SUMIFS('Vendor Master Enrich'!$D:$D,INDEX('Vendor Master Enrich'!$A:$ZZ,,MATCH("Cust Prioritized",'Vendor Master Enrich'!$A$1:$ZZ$1,0)),$A48,'Vendor Master Enrich'!$B:$B,$L$10&amp;E$14)),0),IFERROR(SUM(SUMIFS('Vendor Master Enrich'!$D:$D,INDEX('Vendor Master Enrich'!$A:$ZZ,,MATCH("Cust Prioritized",'Vendor Master Enrich'!$A$1:$ZZ$1,0)),$A48,'Vendor Master Enrich'!$B:$B,$L$10&amp;E$14,'Vendor Master Enrich'!J:J,"United States")),0))</f>
        <v>0</v>
      </c>
      <c r="F48" s="40" t="str">
        <f t="shared" si="2"/>
        <v/>
      </c>
      <c r="G48" s="18">
        <f>IF(L$11="All",IFERROR(SUM(SUMIFS('Vendor Master Enrich'!$D:$D,INDEX('Vendor Master Enrich'!$A:$ZZ,,MATCH("Cust Prioritized",'Vendor Master Enrich'!$A$1:$ZZ$1,0)),$A48,'Vendor Master Enrich'!$B:$B,$L$10&amp;G$14)),0),IFERROR(SUM(SUMIFS('Vendor Master Enrich'!$D:$D,INDEX('Vendor Master Enrich'!$A:$ZZ,,MATCH("Cust Prioritized",'Vendor Master Enrich'!$A$1:$ZZ$1,0)),$A48,'Vendor Master Enrich'!$B:$B,$L$10&amp;G$14,'Vendor Master Enrich'!J:J,"United States")),0))</f>
        <v>0</v>
      </c>
      <c r="H48" s="40" t="str">
        <f t="shared" si="3"/>
        <v/>
      </c>
      <c r="I48" s="18">
        <f>IF(L$11="All",IFERROR(SUM(SUMIFS('Vendor Master Enrich'!$D:$D,INDEX('Vendor Master Enrich'!$A:$ZZ,,MATCH("Cust Prioritized",'Vendor Master Enrich'!$A$1:$ZZ$1,0)),$A48,'Vendor Master Enrich'!$B:$B,$L$10&amp;I$14)),0),IFERROR(SUM(SUMIFS('Vendor Master Enrich'!$D:$D,INDEX('Vendor Master Enrich'!$A:$ZZ,,MATCH("Cust Prioritized",'Vendor Master Enrich'!$A$1:$ZZ$1,0)),$A48,'Vendor Master Enrich'!$B:$B,$L$10&amp;I$14,'Vendor Master Enrich'!J:J,"United States")),0))</f>
        <v>0</v>
      </c>
      <c r="J48" s="40" t="str">
        <f t="shared" si="4"/>
        <v/>
      </c>
      <c r="K48" s="18">
        <f t="shared" si="5"/>
        <v>0</v>
      </c>
      <c r="L48" s="40" t="str">
        <f t="shared" si="6"/>
        <v/>
      </c>
    </row>
    <row r="49" spans="1:13" x14ac:dyDescent="0.2">
      <c r="A49" s="27" t="s">
        <v>37</v>
      </c>
      <c r="B49" s="10" t="s">
        <v>38</v>
      </c>
      <c r="C49" s="18">
        <f>IF(L$11="All",IFERROR(SUM(SUMIFS('Vendor Master Enrich'!$D:$D,INDEX('Vendor Master Enrich'!$A:$ZZ,,MATCH("Cust Prioritized",'Vendor Master Enrich'!$A$1:$ZZ$1,0)),$A49,'Vendor Master Enrich'!$B:$B,$L$10&amp;C$14)),0),IFERROR(SUM(SUMIFS('Vendor Master Enrich'!$D:$D,INDEX('Vendor Master Enrich'!$A:$ZZ,,MATCH("Cust Prioritized",'Vendor Master Enrich'!$A$1:$ZZ$1,0)),$A49,'Vendor Master Enrich'!$B:$B,$L$10&amp;C$14,'Vendor Master Enrich'!J:J,"United States")),0))</f>
        <v>0</v>
      </c>
      <c r="D49" s="40" t="str">
        <f t="shared" si="1"/>
        <v/>
      </c>
      <c r="E49" s="18">
        <f>IF(L$11="All",IFERROR(SUM(SUMIFS('Vendor Master Enrich'!$D:$D,INDEX('Vendor Master Enrich'!$A:$ZZ,,MATCH("Cust Prioritized",'Vendor Master Enrich'!$A$1:$ZZ$1,0)),$A49,'Vendor Master Enrich'!$B:$B,$L$10&amp;E$14)),0),IFERROR(SUM(SUMIFS('Vendor Master Enrich'!$D:$D,INDEX('Vendor Master Enrich'!$A:$ZZ,,MATCH("Cust Prioritized",'Vendor Master Enrich'!$A$1:$ZZ$1,0)),$A49,'Vendor Master Enrich'!$B:$B,$L$10&amp;E$14,'Vendor Master Enrich'!J:J,"United States")),0))</f>
        <v>0</v>
      </c>
      <c r="F49" s="40" t="str">
        <f t="shared" si="2"/>
        <v/>
      </c>
      <c r="G49" s="18">
        <f>IF(L$11="All",IFERROR(SUM(SUMIFS('Vendor Master Enrich'!$D:$D,INDEX('Vendor Master Enrich'!$A:$ZZ,,MATCH("Cust Prioritized",'Vendor Master Enrich'!$A$1:$ZZ$1,0)),$A49,'Vendor Master Enrich'!$B:$B,$L$10&amp;G$14)),0),IFERROR(SUM(SUMIFS('Vendor Master Enrich'!$D:$D,INDEX('Vendor Master Enrich'!$A:$ZZ,,MATCH("Cust Prioritized",'Vendor Master Enrich'!$A$1:$ZZ$1,0)),$A49,'Vendor Master Enrich'!$B:$B,$L$10&amp;G$14,'Vendor Master Enrich'!J:J,"United States")),0))</f>
        <v>0</v>
      </c>
      <c r="H49" s="40" t="str">
        <f t="shared" si="3"/>
        <v/>
      </c>
      <c r="I49" s="18">
        <f>IF(L$11="All",IFERROR(SUM(SUMIFS('Vendor Master Enrich'!$D:$D,INDEX('Vendor Master Enrich'!$A:$ZZ,,MATCH("Cust Prioritized",'Vendor Master Enrich'!$A$1:$ZZ$1,0)),$A49,'Vendor Master Enrich'!$B:$B,$L$10&amp;I$14)),0),IFERROR(SUM(SUMIFS('Vendor Master Enrich'!$D:$D,INDEX('Vendor Master Enrich'!$A:$ZZ,,MATCH("Cust Prioritized",'Vendor Master Enrich'!$A$1:$ZZ$1,0)),$A49,'Vendor Master Enrich'!$B:$B,$L$10&amp;I$14,'Vendor Master Enrich'!J:J,"United States")),0))</f>
        <v>0</v>
      </c>
      <c r="J49" s="40" t="str">
        <f t="shared" si="4"/>
        <v/>
      </c>
      <c r="K49" s="18">
        <f t="shared" si="5"/>
        <v>0</v>
      </c>
      <c r="L49" s="40" t="str">
        <f t="shared" si="6"/>
        <v/>
      </c>
    </row>
    <row r="50" spans="1:13" x14ac:dyDescent="0.2">
      <c r="A50" s="27" t="s">
        <v>39</v>
      </c>
      <c r="B50" s="10" t="s">
        <v>40</v>
      </c>
      <c r="C50" s="18">
        <f>IF(L$11="All",IFERROR(SUM(SUMIFS('Vendor Master Enrich'!$D:$D,INDEX('Vendor Master Enrich'!$A:$ZZ,,MATCH("Cust Prioritized",'Vendor Master Enrich'!$A$1:$ZZ$1,0)),$A50,'Vendor Master Enrich'!$B:$B,$L$10&amp;C$14)),0),IFERROR(SUM(SUMIFS('Vendor Master Enrich'!$D:$D,INDEX('Vendor Master Enrich'!$A:$ZZ,,MATCH("Cust Prioritized",'Vendor Master Enrich'!$A$1:$ZZ$1,0)),$A50,'Vendor Master Enrich'!$B:$B,$L$10&amp;C$14,'Vendor Master Enrich'!J:J,"United States")),0))</f>
        <v>0</v>
      </c>
      <c r="D50" s="40" t="str">
        <f t="shared" si="1"/>
        <v/>
      </c>
      <c r="E50" s="18">
        <f>IF(L$11="All",IFERROR(SUM(SUMIFS('Vendor Master Enrich'!$D:$D,INDEX('Vendor Master Enrich'!$A:$ZZ,,MATCH("Cust Prioritized",'Vendor Master Enrich'!$A$1:$ZZ$1,0)),$A50,'Vendor Master Enrich'!$B:$B,$L$10&amp;E$14)),0),IFERROR(SUM(SUMIFS('Vendor Master Enrich'!$D:$D,INDEX('Vendor Master Enrich'!$A:$ZZ,,MATCH("Cust Prioritized",'Vendor Master Enrich'!$A$1:$ZZ$1,0)),$A50,'Vendor Master Enrich'!$B:$B,$L$10&amp;E$14,'Vendor Master Enrich'!J:J,"United States")),0))</f>
        <v>0</v>
      </c>
      <c r="F50" s="40" t="str">
        <f t="shared" si="2"/>
        <v/>
      </c>
      <c r="G50" s="18">
        <f>IF(L$11="All",IFERROR(SUM(SUMIFS('Vendor Master Enrich'!$D:$D,INDEX('Vendor Master Enrich'!$A:$ZZ,,MATCH("Cust Prioritized",'Vendor Master Enrich'!$A$1:$ZZ$1,0)),$A50,'Vendor Master Enrich'!$B:$B,$L$10&amp;G$14)),0),IFERROR(SUM(SUMIFS('Vendor Master Enrich'!$D:$D,INDEX('Vendor Master Enrich'!$A:$ZZ,,MATCH("Cust Prioritized",'Vendor Master Enrich'!$A$1:$ZZ$1,0)),$A50,'Vendor Master Enrich'!$B:$B,$L$10&amp;G$14,'Vendor Master Enrich'!J:J,"United States")),0))</f>
        <v>0</v>
      </c>
      <c r="H50" s="40" t="str">
        <f t="shared" si="3"/>
        <v/>
      </c>
      <c r="I50" s="18">
        <f>IF(L$11="All",IFERROR(SUM(SUMIFS('Vendor Master Enrich'!$D:$D,INDEX('Vendor Master Enrich'!$A:$ZZ,,MATCH("Cust Prioritized",'Vendor Master Enrich'!$A$1:$ZZ$1,0)),$A50,'Vendor Master Enrich'!$B:$B,$L$10&amp;I$14)),0),IFERROR(SUM(SUMIFS('Vendor Master Enrich'!$D:$D,INDEX('Vendor Master Enrich'!$A:$ZZ,,MATCH("Cust Prioritized",'Vendor Master Enrich'!$A$1:$ZZ$1,0)),$A50,'Vendor Master Enrich'!$B:$B,$L$10&amp;I$14,'Vendor Master Enrich'!J:J,"United States")),0))</f>
        <v>0</v>
      </c>
      <c r="J50" s="40" t="str">
        <f t="shared" si="4"/>
        <v/>
      </c>
      <c r="K50" s="18">
        <f t="shared" si="5"/>
        <v>0</v>
      </c>
      <c r="L50" s="40" t="str">
        <f t="shared" si="6"/>
        <v/>
      </c>
    </row>
    <row r="51" spans="1:13" x14ac:dyDescent="0.2">
      <c r="A51" s="27" t="s">
        <v>41</v>
      </c>
      <c r="B51" s="10" t="s">
        <v>42</v>
      </c>
      <c r="C51" s="18">
        <f>IF(L$11="All",IFERROR(SUM(SUMIFS('Vendor Master Enrich'!$D:$D,INDEX('Vendor Master Enrich'!$A:$ZZ,,MATCH("Cust Prioritized",'Vendor Master Enrich'!$A$1:$ZZ$1,0)),$A51,'Vendor Master Enrich'!$B:$B,$L$10&amp;C$14)),0),IFERROR(SUM(SUMIFS('Vendor Master Enrich'!$D:$D,INDEX('Vendor Master Enrich'!$A:$ZZ,,MATCH("Cust Prioritized",'Vendor Master Enrich'!$A$1:$ZZ$1,0)),$A51,'Vendor Master Enrich'!$B:$B,$L$10&amp;C$14,'Vendor Master Enrich'!J:J,"United States")),0))</f>
        <v>0</v>
      </c>
      <c r="D51" s="40" t="str">
        <f t="shared" si="1"/>
        <v/>
      </c>
      <c r="E51" s="18">
        <f>IF(L$11="All",IFERROR(SUM(SUMIFS('Vendor Master Enrich'!$D:$D,INDEX('Vendor Master Enrich'!$A:$ZZ,,MATCH("Cust Prioritized",'Vendor Master Enrich'!$A$1:$ZZ$1,0)),$A51,'Vendor Master Enrich'!$B:$B,$L$10&amp;E$14)),0),IFERROR(SUM(SUMIFS('Vendor Master Enrich'!$D:$D,INDEX('Vendor Master Enrich'!$A:$ZZ,,MATCH("Cust Prioritized",'Vendor Master Enrich'!$A$1:$ZZ$1,0)),$A51,'Vendor Master Enrich'!$B:$B,$L$10&amp;E$14,'Vendor Master Enrich'!J:J,"United States")),0))</f>
        <v>0</v>
      </c>
      <c r="F51" s="40" t="str">
        <f t="shared" si="2"/>
        <v/>
      </c>
      <c r="G51" s="18">
        <f>IF(L$11="All",IFERROR(SUM(SUMIFS('Vendor Master Enrich'!$D:$D,INDEX('Vendor Master Enrich'!$A:$ZZ,,MATCH("Cust Prioritized",'Vendor Master Enrich'!$A$1:$ZZ$1,0)),$A51,'Vendor Master Enrich'!$B:$B,$L$10&amp;G$14)),0),IFERROR(SUM(SUMIFS('Vendor Master Enrich'!$D:$D,INDEX('Vendor Master Enrich'!$A:$ZZ,,MATCH("Cust Prioritized",'Vendor Master Enrich'!$A$1:$ZZ$1,0)),$A51,'Vendor Master Enrich'!$B:$B,$L$10&amp;G$14,'Vendor Master Enrich'!J:J,"United States")),0))</f>
        <v>0</v>
      </c>
      <c r="H51" s="40" t="str">
        <f t="shared" si="3"/>
        <v/>
      </c>
      <c r="I51" s="18">
        <f>IF(L$11="All",IFERROR(SUM(SUMIFS('Vendor Master Enrich'!$D:$D,INDEX('Vendor Master Enrich'!$A:$ZZ,,MATCH("Cust Prioritized",'Vendor Master Enrich'!$A$1:$ZZ$1,0)),$A51,'Vendor Master Enrich'!$B:$B,$L$10&amp;I$14)),0),IFERROR(SUM(SUMIFS('Vendor Master Enrich'!$D:$D,INDEX('Vendor Master Enrich'!$A:$ZZ,,MATCH("Cust Prioritized",'Vendor Master Enrich'!$A$1:$ZZ$1,0)),$A51,'Vendor Master Enrich'!$B:$B,$L$10&amp;I$14,'Vendor Master Enrich'!J:J,"United States")),0))</f>
        <v>0</v>
      </c>
      <c r="J51" s="40" t="str">
        <f t="shared" si="4"/>
        <v/>
      </c>
      <c r="K51" s="18">
        <f t="shared" si="5"/>
        <v>0</v>
      </c>
      <c r="L51" s="40" t="str">
        <f t="shared" si="6"/>
        <v/>
      </c>
    </row>
    <row r="52" spans="1:13" x14ac:dyDescent="0.2">
      <c r="A52" s="27" t="s">
        <v>43</v>
      </c>
      <c r="B52" s="10" t="s">
        <v>44</v>
      </c>
      <c r="C52" s="18">
        <f>IF(L$11="All",IFERROR(SUM(SUMIFS('Vendor Master Enrich'!$D:$D,INDEX('Vendor Master Enrich'!$A:$ZZ,,MATCH("Cust Prioritized",'Vendor Master Enrich'!$A$1:$ZZ$1,0)),$A52,'Vendor Master Enrich'!$B:$B,$L$10&amp;C$14)),0),IFERROR(SUM(SUMIFS('Vendor Master Enrich'!$D:$D,INDEX('Vendor Master Enrich'!$A:$ZZ,,MATCH("Cust Prioritized",'Vendor Master Enrich'!$A$1:$ZZ$1,0)),$A52,'Vendor Master Enrich'!$B:$B,$L$10&amp;C$14,'Vendor Master Enrich'!J:J,"United States")),0))</f>
        <v>0</v>
      </c>
      <c r="D52" s="40" t="str">
        <f t="shared" si="1"/>
        <v/>
      </c>
      <c r="E52" s="18">
        <f>IF(L$11="All",IFERROR(SUM(SUMIFS('Vendor Master Enrich'!$D:$D,INDEX('Vendor Master Enrich'!$A:$ZZ,,MATCH("Cust Prioritized",'Vendor Master Enrich'!$A$1:$ZZ$1,0)),$A52,'Vendor Master Enrich'!$B:$B,$L$10&amp;E$14)),0),IFERROR(SUM(SUMIFS('Vendor Master Enrich'!$D:$D,INDEX('Vendor Master Enrich'!$A:$ZZ,,MATCH("Cust Prioritized",'Vendor Master Enrich'!$A$1:$ZZ$1,0)),$A52,'Vendor Master Enrich'!$B:$B,$L$10&amp;E$14,'Vendor Master Enrich'!J:J,"United States")),0))</f>
        <v>0</v>
      </c>
      <c r="F52" s="40" t="str">
        <f t="shared" si="2"/>
        <v/>
      </c>
      <c r="G52" s="18">
        <f>IF(L$11="All",IFERROR(SUM(SUMIFS('Vendor Master Enrich'!$D:$D,INDEX('Vendor Master Enrich'!$A:$ZZ,,MATCH("Cust Prioritized",'Vendor Master Enrich'!$A$1:$ZZ$1,0)),$A52,'Vendor Master Enrich'!$B:$B,$L$10&amp;G$14)),0),IFERROR(SUM(SUMIFS('Vendor Master Enrich'!$D:$D,INDEX('Vendor Master Enrich'!$A:$ZZ,,MATCH("Cust Prioritized",'Vendor Master Enrich'!$A$1:$ZZ$1,0)),$A52,'Vendor Master Enrich'!$B:$B,$L$10&amp;G$14,'Vendor Master Enrich'!J:J,"United States")),0))</f>
        <v>0</v>
      </c>
      <c r="H52" s="40" t="str">
        <f t="shared" si="3"/>
        <v/>
      </c>
      <c r="I52" s="18">
        <f>IF(L$11="All",IFERROR(SUM(SUMIFS('Vendor Master Enrich'!$D:$D,INDEX('Vendor Master Enrich'!$A:$ZZ,,MATCH("Cust Prioritized",'Vendor Master Enrich'!$A$1:$ZZ$1,0)),$A52,'Vendor Master Enrich'!$B:$B,$L$10&amp;I$14)),0),IFERROR(SUM(SUMIFS('Vendor Master Enrich'!$D:$D,INDEX('Vendor Master Enrich'!$A:$ZZ,,MATCH("Cust Prioritized",'Vendor Master Enrich'!$A$1:$ZZ$1,0)),$A52,'Vendor Master Enrich'!$B:$B,$L$10&amp;I$14,'Vendor Master Enrich'!J:J,"United States")),0))</f>
        <v>0</v>
      </c>
      <c r="J52" s="40" t="str">
        <f t="shared" si="4"/>
        <v/>
      </c>
      <c r="K52" s="18">
        <f t="shared" si="5"/>
        <v>0</v>
      </c>
      <c r="L52" s="40" t="str">
        <f t="shared" si="6"/>
        <v/>
      </c>
    </row>
    <row r="53" spans="1:13" x14ac:dyDescent="0.2">
      <c r="A53" s="27" t="s">
        <v>45</v>
      </c>
      <c r="B53" s="10" t="s">
        <v>46</v>
      </c>
      <c r="C53" s="18">
        <f>IF(L$11="All",IFERROR(SUM(SUMIFS('Vendor Master Enrich'!$D:$D,INDEX('Vendor Master Enrich'!$A:$ZZ,,MATCH("Cust Prioritized",'Vendor Master Enrich'!$A$1:$ZZ$1,0)),$A53,'Vendor Master Enrich'!$B:$B,$L$10&amp;C$14)),0),IFERROR(SUM(SUMIFS('Vendor Master Enrich'!$D:$D,INDEX('Vendor Master Enrich'!$A:$ZZ,,MATCH("Cust Prioritized",'Vendor Master Enrich'!$A$1:$ZZ$1,0)),$A53,'Vendor Master Enrich'!$B:$B,$L$10&amp;C$14,'Vendor Master Enrich'!J:J,"United States")),0))</f>
        <v>0</v>
      </c>
      <c r="D53" s="40" t="str">
        <f t="shared" si="1"/>
        <v/>
      </c>
      <c r="E53" s="18">
        <f>IF(L$11="All",IFERROR(SUM(SUMIFS('Vendor Master Enrich'!$D:$D,INDEX('Vendor Master Enrich'!$A:$ZZ,,MATCH("Cust Prioritized",'Vendor Master Enrich'!$A$1:$ZZ$1,0)),$A53,'Vendor Master Enrich'!$B:$B,$L$10&amp;E$14)),0),IFERROR(SUM(SUMIFS('Vendor Master Enrich'!$D:$D,INDEX('Vendor Master Enrich'!$A:$ZZ,,MATCH("Cust Prioritized",'Vendor Master Enrich'!$A$1:$ZZ$1,0)),$A53,'Vendor Master Enrich'!$B:$B,$L$10&amp;E$14,'Vendor Master Enrich'!J:J,"United States")),0))</f>
        <v>0</v>
      </c>
      <c r="F53" s="40" t="str">
        <f t="shared" si="2"/>
        <v/>
      </c>
      <c r="G53" s="18">
        <f>IF(L$11="All",IFERROR(SUM(SUMIFS('Vendor Master Enrich'!$D:$D,INDEX('Vendor Master Enrich'!$A:$ZZ,,MATCH("Cust Prioritized",'Vendor Master Enrich'!$A$1:$ZZ$1,0)),$A53,'Vendor Master Enrich'!$B:$B,$L$10&amp;G$14)),0),IFERROR(SUM(SUMIFS('Vendor Master Enrich'!$D:$D,INDEX('Vendor Master Enrich'!$A:$ZZ,,MATCH("Cust Prioritized",'Vendor Master Enrich'!$A$1:$ZZ$1,0)),$A53,'Vendor Master Enrich'!$B:$B,$L$10&amp;G$14,'Vendor Master Enrich'!J:J,"United States")),0))</f>
        <v>0</v>
      </c>
      <c r="H53" s="40" t="str">
        <f t="shared" si="3"/>
        <v/>
      </c>
      <c r="I53" s="18">
        <f>IF(L$11="All",IFERROR(SUM(SUMIFS('Vendor Master Enrich'!$D:$D,INDEX('Vendor Master Enrich'!$A:$ZZ,,MATCH("Cust Prioritized",'Vendor Master Enrich'!$A$1:$ZZ$1,0)),$A53,'Vendor Master Enrich'!$B:$B,$L$10&amp;I$14)),0),IFERROR(SUM(SUMIFS('Vendor Master Enrich'!$D:$D,INDEX('Vendor Master Enrich'!$A:$ZZ,,MATCH("Cust Prioritized",'Vendor Master Enrich'!$A$1:$ZZ$1,0)),$A53,'Vendor Master Enrich'!$B:$B,$L$10&amp;I$14,'Vendor Master Enrich'!J:J,"United States")),0))</f>
        <v>0</v>
      </c>
      <c r="J53" s="40" t="str">
        <f t="shared" si="4"/>
        <v/>
      </c>
      <c r="K53" s="18">
        <f t="shared" si="5"/>
        <v>0</v>
      </c>
      <c r="L53" s="40" t="str">
        <f t="shared" si="6"/>
        <v/>
      </c>
    </row>
    <row r="54" spans="1:13" x14ac:dyDescent="0.2">
      <c r="A54" s="27" t="s">
        <v>47</v>
      </c>
      <c r="B54" s="10" t="s">
        <v>48</v>
      </c>
      <c r="C54" s="18">
        <f>IF(L$11="All",IFERROR(SUM(SUMIFS('Vendor Master Enrich'!$D:$D,INDEX('Vendor Master Enrich'!$A:$ZZ,,MATCH("Cust Prioritized",'Vendor Master Enrich'!$A$1:$ZZ$1,0)),$A54,'Vendor Master Enrich'!$B:$B,$L$10&amp;C$14)),0),IFERROR(SUM(SUMIFS('Vendor Master Enrich'!$D:$D,INDEX('Vendor Master Enrich'!$A:$ZZ,,MATCH("Cust Prioritized",'Vendor Master Enrich'!$A$1:$ZZ$1,0)),$A54,'Vendor Master Enrich'!$B:$B,$L$10&amp;C$14,'Vendor Master Enrich'!J:J,"United States")),0))</f>
        <v>0</v>
      </c>
      <c r="D54" s="40" t="str">
        <f t="shared" si="1"/>
        <v/>
      </c>
      <c r="E54" s="18">
        <f>IF(L$11="All",IFERROR(SUM(SUMIFS('Vendor Master Enrich'!$D:$D,INDEX('Vendor Master Enrich'!$A:$ZZ,,MATCH("Cust Prioritized",'Vendor Master Enrich'!$A$1:$ZZ$1,0)),$A54,'Vendor Master Enrich'!$B:$B,$L$10&amp;E$14)),0),IFERROR(SUM(SUMIFS('Vendor Master Enrich'!$D:$D,INDEX('Vendor Master Enrich'!$A:$ZZ,,MATCH("Cust Prioritized",'Vendor Master Enrich'!$A$1:$ZZ$1,0)),$A54,'Vendor Master Enrich'!$B:$B,$L$10&amp;E$14,'Vendor Master Enrich'!J:J,"United States")),0))</f>
        <v>0</v>
      </c>
      <c r="F54" s="40" t="str">
        <f t="shared" si="2"/>
        <v/>
      </c>
      <c r="G54" s="18">
        <f>IF(L$11="All",IFERROR(SUM(SUMIFS('Vendor Master Enrich'!$D:$D,INDEX('Vendor Master Enrich'!$A:$ZZ,,MATCH("Cust Prioritized",'Vendor Master Enrich'!$A$1:$ZZ$1,0)),$A54,'Vendor Master Enrich'!$B:$B,$L$10&amp;G$14)),0),IFERROR(SUM(SUMIFS('Vendor Master Enrich'!$D:$D,INDEX('Vendor Master Enrich'!$A:$ZZ,,MATCH("Cust Prioritized",'Vendor Master Enrich'!$A$1:$ZZ$1,0)),$A54,'Vendor Master Enrich'!$B:$B,$L$10&amp;G$14,'Vendor Master Enrich'!J:J,"United States")),0))</f>
        <v>0</v>
      </c>
      <c r="H54" s="40" t="str">
        <f t="shared" si="3"/>
        <v/>
      </c>
      <c r="I54" s="18">
        <f>IF(L$11="All",IFERROR(SUM(SUMIFS('Vendor Master Enrich'!$D:$D,INDEX('Vendor Master Enrich'!$A:$ZZ,,MATCH("Cust Prioritized",'Vendor Master Enrich'!$A$1:$ZZ$1,0)),$A54,'Vendor Master Enrich'!$B:$B,$L$10&amp;I$14)),0),IFERROR(SUM(SUMIFS('Vendor Master Enrich'!$D:$D,INDEX('Vendor Master Enrich'!$A:$ZZ,,MATCH("Cust Prioritized",'Vendor Master Enrich'!$A$1:$ZZ$1,0)),$A54,'Vendor Master Enrich'!$B:$B,$L$10&amp;I$14,'Vendor Master Enrich'!J:J,"United States")),0))</f>
        <v>0</v>
      </c>
      <c r="J54" s="40" t="str">
        <f t="shared" si="4"/>
        <v/>
      </c>
      <c r="K54" s="18">
        <f t="shared" si="5"/>
        <v>0</v>
      </c>
      <c r="L54" s="40" t="str">
        <f t="shared" si="6"/>
        <v/>
      </c>
    </row>
    <row r="55" spans="1:13" x14ac:dyDescent="0.2">
      <c r="A55" s="27" t="s">
        <v>59</v>
      </c>
      <c r="B55" s="10" t="s">
        <v>49</v>
      </c>
      <c r="C55" s="18">
        <f>IF(L$11="All",IFERROR(SUM(SUMIFS('Vendor Master Enrich'!$D:$D,INDEX('Vendor Master Enrich'!$A:$ZZ,,MATCH("Cust Prioritized",'Vendor Master Enrich'!$A$1:$ZZ$1,0)),$A55,'Vendor Master Enrich'!$B:$B,$L$10&amp;C$14)),0),IFERROR(SUM(SUMIFS('Vendor Master Enrich'!$D:$D,INDEX('Vendor Master Enrich'!$A:$ZZ,,MATCH("Cust Prioritized",'Vendor Master Enrich'!$A$1:$ZZ$1,0)),$A55,'Vendor Master Enrich'!$B:$B,$L$10&amp;C$14,'Vendor Master Enrich'!J:J,"United States")),0))</f>
        <v>0</v>
      </c>
      <c r="D55" s="40" t="str">
        <f t="shared" si="1"/>
        <v/>
      </c>
      <c r="E55" s="18">
        <f>IF(L$11="All",IFERROR(SUM(SUMIFS('Vendor Master Enrich'!$D:$D,INDEX('Vendor Master Enrich'!$A:$ZZ,,MATCH("Cust Prioritized",'Vendor Master Enrich'!$A$1:$ZZ$1,0)),$A55,'Vendor Master Enrich'!$B:$B,$L$10&amp;E$14)),0),IFERROR(SUM(SUMIFS('Vendor Master Enrich'!$D:$D,INDEX('Vendor Master Enrich'!$A:$ZZ,,MATCH("Cust Prioritized",'Vendor Master Enrich'!$A$1:$ZZ$1,0)),$A55,'Vendor Master Enrich'!$B:$B,$L$10&amp;E$14,'Vendor Master Enrich'!J:J,"United States")),0))</f>
        <v>0</v>
      </c>
      <c r="F55" s="40" t="str">
        <f t="shared" si="2"/>
        <v/>
      </c>
      <c r="G55" s="18">
        <f>IF(L$11="All",IFERROR(SUM(SUMIFS('Vendor Master Enrich'!$D:$D,INDEX('Vendor Master Enrich'!$A:$ZZ,,MATCH("Cust Prioritized",'Vendor Master Enrich'!$A$1:$ZZ$1,0)),$A55,'Vendor Master Enrich'!$B:$B,$L$10&amp;G$14)),0),IFERROR(SUM(SUMIFS('Vendor Master Enrich'!$D:$D,INDEX('Vendor Master Enrich'!$A:$ZZ,,MATCH("Cust Prioritized",'Vendor Master Enrich'!$A$1:$ZZ$1,0)),$A55,'Vendor Master Enrich'!$B:$B,$L$10&amp;G$14,'Vendor Master Enrich'!J:J,"United States")),0))</f>
        <v>0</v>
      </c>
      <c r="H55" s="40" t="str">
        <f t="shared" si="3"/>
        <v/>
      </c>
      <c r="I55" s="18">
        <f>IF(L$11="All",IFERROR(SUM(SUMIFS('Vendor Master Enrich'!$D:$D,INDEX('Vendor Master Enrich'!$A:$ZZ,,MATCH("Cust Prioritized",'Vendor Master Enrich'!$A$1:$ZZ$1,0)),$A55,'Vendor Master Enrich'!$B:$B,$L$10&amp;I$14)),0),IFERROR(SUM(SUMIFS('Vendor Master Enrich'!$D:$D,INDEX('Vendor Master Enrich'!$A:$ZZ,,MATCH("Cust Prioritized",'Vendor Master Enrich'!$A$1:$ZZ$1,0)),$A55,'Vendor Master Enrich'!$B:$B,$L$10&amp;I$14,'Vendor Master Enrich'!J:J,"United States")),0))</f>
        <v>0</v>
      </c>
      <c r="J55" s="40" t="str">
        <f t="shared" si="4"/>
        <v/>
      </c>
      <c r="K55" s="18">
        <f t="shared" si="5"/>
        <v>0</v>
      </c>
      <c r="L55" s="40" t="str">
        <f t="shared" si="6"/>
        <v/>
      </c>
    </row>
    <row r="56" spans="1:13" x14ac:dyDescent="0.2">
      <c r="A56" s="27" t="s">
        <v>50</v>
      </c>
      <c r="B56" s="10" t="s">
        <v>51</v>
      </c>
      <c r="C56" s="18">
        <f>IF(L$11="All",IFERROR(SUM(SUMIFS('Vendor Master Enrich'!$D:$D,INDEX('Vendor Master Enrich'!$A:$ZZ,,MATCH("Cust Prioritized",'Vendor Master Enrich'!$A$1:$ZZ$1,0)),$A56,'Vendor Master Enrich'!$B:$B,$L$10&amp;C$14)),0),IFERROR(SUM(SUMIFS('Vendor Master Enrich'!$D:$D,INDEX('Vendor Master Enrich'!$A:$ZZ,,MATCH("Cust Prioritized",'Vendor Master Enrich'!$A$1:$ZZ$1,0)),$A56,'Vendor Master Enrich'!$B:$B,$L$10&amp;C$14,'Vendor Master Enrich'!J:J,"United States")),0))</f>
        <v>0</v>
      </c>
      <c r="D56" s="40" t="str">
        <f t="shared" si="1"/>
        <v/>
      </c>
      <c r="E56" s="18">
        <f>IF(L$11="All",IFERROR(SUM(SUMIFS('Vendor Master Enrich'!$D:$D,INDEX('Vendor Master Enrich'!$A:$ZZ,,MATCH("Cust Prioritized",'Vendor Master Enrich'!$A$1:$ZZ$1,0)),$A56,'Vendor Master Enrich'!$B:$B,$L$10&amp;E$14)),0),IFERROR(SUM(SUMIFS('Vendor Master Enrich'!$D:$D,INDEX('Vendor Master Enrich'!$A:$ZZ,,MATCH("Cust Prioritized",'Vendor Master Enrich'!$A$1:$ZZ$1,0)),$A56,'Vendor Master Enrich'!$B:$B,$L$10&amp;E$14,'Vendor Master Enrich'!J:J,"United States")),0))</f>
        <v>0</v>
      </c>
      <c r="F56" s="40" t="str">
        <f t="shared" si="2"/>
        <v/>
      </c>
      <c r="G56" s="18">
        <f>IF(L$11="All",IFERROR(SUM(SUMIFS('Vendor Master Enrich'!$D:$D,INDEX('Vendor Master Enrich'!$A:$ZZ,,MATCH("Cust Prioritized",'Vendor Master Enrich'!$A$1:$ZZ$1,0)),$A56,'Vendor Master Enrich'!$B:$B,$L$10&amp;G$14)),0),IFERROR(SUM(SUMIFS('Vendor Master Enrich'!$D:$D,INDEX('Vendor Master Enrich'!$A:$ZZ,,MATCH("Cust Prioritized",'Vendor Master Enrich'!$A$1:$ZZ$1,0)),$A56,'Vendor Master Enrich'!$B:$B,$L$10&amp;G$14,'Vendor Master Enrich'!J:J,"United States")),0))</f>
        <v>0</v>
      </c>
      <c r="H56" s="40" t="str">
        <f t="shared" si="3"/>
        <v/>
      </c>
      <c r="I56" s="18">
        <f>IF(L$11="All",IFERROR(SUM(SUMIFS('Vendor Master Enrich'!$D:$D,INDEX('Vendor Master Enrich'!$A:$ZZ,,MATCH("Cust Prioritized",'Vendor Master Enrich'!$A$1:$ZZ$1,0)),$A56,'Vendor Master Enrich'!$B:$B,$L$10&amp;I$14)),0),IFERROR(SUM(SUMIFS('Vendor Master Enrich'!$D:$D,INDEX('Vendor Master Enrich'!$A:$ZZ,,MATCH("Cust Prioritized",'Vendor Master Enrich'!$A$1:$ZZ$1,0)),$A56,'Vendor Master Enrich'!$B:$B,$L$10&amp;I$14,'Vendor Master Enrich'!J:J,"United States")),0))</f>
        <v>0</v>
      </c>
      <c r="J56" s="40" t="str">
        <f t="shared" si="4"/>
        <v/>
      </c>
      <c r="K56" s="18">
        <f t="shared" si="5"/>
        <v>0</v>
      </c>
      <c r="L56" s="40" t="str">
        <f t="shared" si="6"/>
        <v/>
      </c>
    </row>
    <row r="57" spans="1:13" x14ac:dyDescent="0.2">
      <c r="A57" s="27" t="s">
        <v>52</v>
      </c>
      <c r="B57" s="10" t="s">
        <v>53</v>
      </c>
      <c r="C57" s="18">
        <f>IF(L$11="All",IFERROR(SUM(SUMIFS('Vendor Master Enrich'!$D:$D,INDEX('Vendor Master Enrich'!$A:$ZZ,,MATCH("Cust Prioritized",'Vendor Master Enrich'!$A$1:$ZZ$1,0)),$A57,'Vendor Master Enrich'!$B:$B,$L$10&amp;C$14)),0),IFERROR(SUM(SUMIFS('Vendor Master Enrich'!$D:$D,INDEX('Vendor Master Enrich'!$A:$ZZ,,MATCH("Cust Prioritized",'Vendor Master Enrich'!$A$1:$ZZ$1,0)),$A57,'Vendor Master Enrich'!$B:$B,$L$10&amp;C$14,'Vendor Master Enrich'!J:J,"United States")),0))</f>
        <v>0</v>
      </c>
      <c r="D57" s="40" t="str">
        <f t="shared" si="1"/>
        <v/>
      </c>
      <c r="E57" s="18">
        <f>IF(L$11="All",IFERROR(SUM(SUMIFS('Vendor Master Enrich'!$D:$D,INDEX('Vendor Master Enrich'!$A:$ZZ,,MATCH("Cust Prioritized",'Vendor Master Enrich'!$A$1:$ZZ$1,0)),$A57,'Vendor Master Enrich'!$B:$B,$L$10&amp;E$14)),0),IFERROR(SUM(SUMIFS('Vendor Master Enrich'!$D:$D,INDEX('Vendor Master Enrich'!$A:$ZZ,,MATCH("Cust Prioritized",'Vendor Master Enrich'!$A$1:$ZZ$1,0)),$A57,'Vendor Master Enrich'!$B:$B,$L$10&amp;E$14,'Vendor Master Enrich'!J:J,"United States")),0))</f>
        <v>0</v>
      </c>
      <c r="F57" s="40" t="str">
        <f t="shared" si="2"/>
        <v/>
      </c>
      <c r="G57" s="18">
        <f>IF(L$11="All",IFERROR(SUM(SUMIFS('Vendor Master Enrich'!$D:$D,INDEX('Vendor Master Enrich'!$A:$ZZ,,MATCH("Cust Prioritized",'Vendor Master Enrich'!$A$1:$ZZ$1,0)),$A57,'Vendor Master Enrich'!$B:$B,$L$10&amp;G$14)),0),IFERROR(SUM(SUMIFS('Vendor Master Enrich'!$D:$D,INDEX('Vendor Master Enrich'!$A:$ZZ,,MATCH("Cust Prioritized",'Vendor Master Enrich'!$A$1:$ZZ$1,0)),$A57,'Vendor Master Enrich'!$B:$B,$L$10&amp;G$14,'Vendor Master Enrich'!J:J,"United States")),0))</f>
        <v>0</v>
      </c>
      <c r="H57" s="40" t="str">
        <f t="shared" si="3"/>
        <v/>
      </c>
      <c r="I57" s="18">
        <f>IF(L$11="All",IFERROR(SUM(SUMIFS('Vendor Master Enrich'!$D:$D,INDEX('Vendor Master Enrich'!$A:$ZZ,,MATCH("Cust Prioritized",'Vendor Master Enrich'!$A$1:$ZZ$1,0)),$A57,'Vendor Master Enrich'!$B:$B,$L$10&amp;I$14)),0),IFERROR(SUM(SUMIFS('Vendor Master Enrich'!$D:$D,INDEX('Vendor Master Enrich'!$A:$ZZ,,MATCH("Cust Prioritized",'Vendor Master Enrich'!$A$1:$ZZ$1,0)),$A57,'Vendor Master Enrich'!$B:$B,$L$10&amp;I$14,'Vendor Master Enrich'!J:J,"United States")),0))</f>
        <v>0</v>
      </c>
      <c r="J57" s="40" t="str">
        <f t="shared" si="4"/>
        <v/>
      </c>
      <c r="K57" s="18">
        <f t="shared" si="5"/>
        <v>0</v>
      </c>
      <c r="L57" s="40" t="str">
        <f t="shared" si="6"/>
        <v/>
      </c>
    </row>
    <row r="58" spans="1:13" x14ac:dyDescent="0.2">
      <c r="A58" s="27" t="s">
        <v>54</v>
      </c>
      <c r="B58" s="10" t="s">
        <v>55</v>
      </c>
      <c r="C58" s="18">
        <f>IF(L$11="All",IFERROR(SUM(SUMIFS('Vendor Master Enrich'!$D:$D,INDEX('Vendor Master Enrich'!$A:$ZZ,,MATCH("Cust Prioritized",'Vendor Master Enrich'!$A$1:$ZZ$1,0)),$A58,'Vendor Master Enrich'!$B:$B,$L$10&amp;C$14)),0),IFERROR(SUM(SUMIFS('Vendor Master Enrich'!$D:$D,INDEX('Vendor Master Enrich'!$A:$ZZ,,MATCH("Cust Prioritized",'Vendor Master Enrich'!$A$1:$ZZ$1,0)),$A58,'Vendor Master Enrich'!$B:$B,$L$10&amp;C$14,'Vendor Master Enrich'!J:J,"United States")),0))</f>
        <v>0</v>
      </c>
      <c r="D58" s="40" t="str">
        <f t="shared" si="1"/>
        <v/>
      </c>
      <c r="E58" s="18">
        <f>IF(L$11="All",IFERROR(SUM(SUMIFS('Vendor Master Enrich'!$D:$D,INDEX('Vendor Master Enrich'!$A:$ZZ,,MATCH("Cust Prioritized",'Vendor Master Enrich'!$A$1:$ZZ$1,0)),$A58,'Vendor Master Enrich'!$B:$B,$L$10&amp;E$14)),0),IFERROR(SUM(SUMIFS('Vendor Master Enrich'!$D:$D,INDEX('Vendor Master Enrich'!$A:$ZZ,,MATCH("Cust Prioritized",'Vendor Master Enrich'!$A$1:$ZZ$1,0)),$A58,'Vendor Master Enrich'!$B:$B,$L$10&amp;E$14,'Vendor Master Enrich'!J:J,"United States")),0))</f>
        <v>0</v>
      </c>
      <c r="F58" s="40" t="str">
        <f t="shared" si="2"/>
        <v/>
      </c>
      <c r="G58" s="18">
        <f>IF(L$11="All",IFERROR(SUM(SUMIFS('Vendor Master Enrich'!$D:$D,INDEX('Vendor Master Enrich'!$A:$ZZ,,MATCH("Cust Prioritized",'Vendor Master Enrich'!$A$1:$ZZ$1,0)),$A58,'Vendor Master Enrich'!$B:$B,$L$10&amp;G$14)),0),IFERROR(SUM(SUMIFS('Vendor Master Enrich'!$D:$D,INDEX('Vendor Master Enrich'!$A:$ZZ,,MATCH("Cust Prioritized",'Vendor Master Enrich'!$A$1:$ZZ$1,0)),$A58,'Vendor Master Enrich'!$B:$B,$L$10&amp;G$14,'Vendor Master Enrich'!J:J,"United States")),0))</f>
        <v>0</v>
      </c>
      <c r="H58" s="40" t="str">
        <f t="shared" si="3"/>
        <v/>
      </c>
      <c r="I58" s="18">
        <f>IF(L$11="All",IFERROR(SUM(SUMIFS('Vendor Master Enrich'!$D:$D,INDEX('Vendor Master Enrich'!$A:$ZZ,,MATCH("Cust Prioritized",'Vendor Master Enrich'!$A$1:$ZZ$1,0)),$A58,'Vendor Master Enrich'!$B:$B,$L$10&amp;I$14)),0),IFERROR(SUM(SUMIFS('Vendor Master Enrich'!$D:$D,INDEX('Vendor Master Enrich'!$A:$ZZ,,MATCH("Cust Prioritized",'Vendor Master Enrich'!$A$1:$ZZ$1,0)),$A58,'Vendor Master Enrich'!$B:$B,$L$10&amp;I$14,'Vendor Master Enrich'!J:J,"United States")),0))</f>
        <v>0</v>
      </c>
      <c r="J58" s="40" t="str">
        <f t="shared" si="4"/>
        <v/>
      </c>
      <c r="K58" s="18">
        <f t="shared" si="5"/>
        <v>0</v>
      </c>
      <c r="L58" s="40" t="str">
        <f t="shared" si="6"/>
        <v/>
      </c>
    </row>
    <row r="59" spans="1:13" x14ac:dyDescent="0.2">
      <c r="A59" s="27"/>
      <c r="B59" s="3" t="s">
        <v>8</v>
      </c>
      <c r="C59" s="21">
        <f>SUM(C44:C58)</f>
        <v>0</v>
      </c>
      <c r="D59" s="41" t="str">
        <f t="shared" si="1"/>
        <v/>
      </c>
      <c r="E59" s="21">
        <f>SUM(E44:E58)</f>
        <v>0</v>
      </c>
      <c r="F59" s="41" t="str">
        <f t="shared" si="2"/>
        <v/>
      </c>
      <c r="G59" s="21">
        <f>SUM(G44:G58)</f>
        <v>0</v>
      </c>
      <c r="H59" s="41" t="str">
        <f t="shared" si="3"/>
        <v/>
      </c>
      <c r="I59" s="21">
        <f>SUM(I44:I58)</f>
        <v>0</v>
      </c>
      <c r="J59" s="41" t="str">
        <f t="shared" si="4"/>
        <v/>
      </c>
      <c r="K59" s="21">
        <f>SUM(K44:K58)</f>
        <v>0</v>
      </c>
      <c r="L59" s="41" t="str">
        <f t="shared" si="6"/>
        <v/>
      </c>
    </row>
    <row r="60" spans="1:13" x14ac:dyDescent="0.2">
      <c r="A60" s="27"/>
      <c r="B60" s="42" t="s">
        <v>60</v>
      </c>
      <c r="C60" s="43">
        <f>C59-C17</f>
        <v>0</v>
      </c>
      <c r="D60" s="44"/>
      <c r="E60" s="43">
        <f>E59-E17</f>
        <v>0</v>
      </c>
      <c r="F60" s="44"/>
      <c r="G60" s="43">
        <f>G59-G17</f>
        <v>0</v>
      </c>
      <c r="H60" s="44"/>
      <c r="I60" s="43">
        <f>I59-I17</f>
        <v>0</v>
      </c>
      <c r="J60" s="44"/>
      <c r="K60" s="44"/>
      <c r="L60" s="44"/>
    </row>
    <row r="61" spans="1:13" ht="68" customHeight="1" x14ac:dyDescent="0.2">
      <c r="A61" s="27"/>
      <c r="B61" s="45" t="s">
        <v>61</v>
      </c>
      <c r="C61" s="127" t="s">
        <v>16</v>
      </c>
      <c r="D61" s="128"/>
      <c r="E61" s="127" t="s">
        <v>17</v>
      </c>
      <c r="F61" s="128"/>
      <c r="G61" s="127" t="s">
        <v>18</v>
      </c>
      <c r="H61" s="128"/>
      <c r="I61" s="127" t="s">
        <v>19</v>
      </c>
      <c r="J61" s="128"/>
      <c r="K61" s="127" t="s">
        <v>20</v>
      </c>
      <c r="L61" s="128"/>
      <c r="M61" s="55" t="s">
        <v>62</v>
      </c>
    </row>
    <row r="62" spans="1:13" x14ac:dyDescent="0.2">
      <c r="A62" s="27" t="s">
        <v>63</v>
      </c>
      <c r="B62" s="11" t="s">
        <v>64</v>
      </c>
      <c r="C62" s="18">
        <f>IF(L$11="All", IFERROR(SUM(SUMIFS('Vendor Master Enrich'!$D:$D,INDEX('Vendor Master Enrich'!$A:$ZZ,,MATCH($A62,'Vendor Master Enrich'!$A$1:$ZZ$1,0)),"Y",'Vendor Master Enrich'!$B:$B,$L$10&amp;C$14)),0),IFERROR(SUM(SUMIFS('Vendor Master Enrich'!$D:$D,INDEX('Vendor Master Enrich'!$A:$ZZ,,MATCH($A62,'Vendor Master Enrich'!$A$1:$ZZ$1,0)),"Y",'Vendor Master Enrich'!$B:$B,$L$10&amp;C$14,'Vendor Master Enrich'!J:J,"United States")),0))</f>
        <v>0</v>
      </c>
      <c r="D62" s="46"/>
      <c r="E62" s="18">
        <f>IF(L$11="All", IFERROR(SUM(SUMIFS('Vendor Master Enrich'!$D:$D,INDEX('Vendor Master Enrich'!$A:$ZZ,,MATCH($A62,'Vendor Master Enrich'!$A$1:$ZZ$1,0)),"Y",'Vendor Master Enrich'!$B:$B,$L$10&amp;E$14)),0),IFERROR(SUM(SUMIFS('Vendor Master Enrich'!$D:$D,INDEX('Vendor Master Enrich'!$A:$ZZ,,MATCH($A62,'Vendor Master Enrich'!$A$1:$ZZ$1,0)),"Y",'Vendor Master Enrich'!$B:$B,$L$10&amp;E$14,'Vendor Master Enrich'!J:J,"United States")),0))</f>
        <v>0</v>
      </c>
      <c r="F62" s="46"/>
      <c r="G62" s="18">
        <f>IF(L$11="All", IFERROR(SUM(SUMIFS('Vendor Master Enrich'!$D:$D,INDEX('Vendor Master Enrich'!$A:$ZZ,,MATCH($A62,'Vendor Master Enrich'!$A$1:$ZZ$1,0)),"Y",'Vendor Master Enrich'!$B:$B,$L$10&amp;G$14)),0),IFERROR(SUM(SUMIFS('Vendor Master Enrich'!$D:$D,INDEX('Vendor Master Enrich'!$A:$ZZ,,MATCH($A62,'Vendor Master Enrich'!$A$1:$ZZ$1,0)),"Y",'Vendor Master Enrich'!$B:$B,$L$10&amp;G$14,'Vendor Master Enrich'!J:J,"United States")),0))</f>
        <v>0</v>
      </c>
      <c r="H62" s="46"/>
      <c r="I62" s="18">
        <f>IF(L$11="All", IFERROR(SUM(SUMIFS('Vendor Master Enrich'!$D:$D,INDEX('Vendor Master Enrich'!$A:$ZZ,,MATCH($A62,'Vendor Master Enrich'!$A$1:$ZZ$1,0)),"Y",'Vendor Master Enrich'!$B:$B,$L$10&amp;I$14)),0),IFERROR(SUM(SUMIFS('Vendor Master Enrich'!$D:$D,INDEX('Vendor Master Enrich'!$A:$ZZ,,MATCH($A62,'Vendor Master Enrich'!$A$1:$ZZ$1,0)),"Y",'Vendor Master Enrich'!$B:$B,$L$10&amp;I$14,'Vendor Master Enrich'!J:J,"United States")),0))</f>
        <v>0</v>
      </c>
      <c r="J62" s="46"/>
      <c r="K62" s="18">
        <f t="shared" ref="K62:K73" si="7">I62+G62+E62+C62</f>
        <v>0</v>
      </c>
      <c r="L62" s="47"/>
    </row>
    <row r="63" spans="1:13" x14ac:dyDescent="0.2">
      <c r="A63" s="27" t="s">
        <v>65</v>
      </c>
      <c r="B63" s="11" t="s">
        <v>66</v>
      </c>
      <c r="C63" s="18">
        <f>IF(L$11="All", IFERROR(SUM(SUMIFS('Vendor Master Enrich'!$D:$D,INDEX('Vendor Master Enrich'!$A:$ZZ,,MATCH($A63,'Vendor Master Enrich'!$A$1:$ZZ$1,0)),"Y",'Vendor Master Enrich'!$B:$B,$L$10&amp;C$14)),0),IFERROR(SUM(SUMIFS('Vendor Master Enrich'!$D:$D,INDEX('Vendor Master Enrich'!$A:$ZZ,,MATCH($A63,'Vendor Master Enrich'!$A$1:$ZZ$1,0)),"Y",'Vendor Master Enrich'!$B:$B,$L$10&amp;C$14,'Vendor Master Enrich'!J:J,"United States")),0))</f>
        <v>0</v>
      </c>
      <c r="D63" s="46"/>
      <c r="E63" s="18">
        <f>IF(L$11="All", IFERROR(SUM(SUMIFS('Vendor Master Enrich'!$D:$D,INDEX('Vendor Master Enrich'!$A:$ZZ,,MATCH($A63,'Vendor Master Enrich'!$A$1:$ZZ$1,0)),"Y",'Vendor Master Enrich'!$B:$B,$L$10&amp;E$14)),0),IFERROR(SUM(SUMIFS('Vendor Master Enrich'!$D:$D,INDEX('Vendor Master Enrich'!$A:$ZZ,,MATCH($A63,'Vendor Master Enrich'!$A$1:$ZZ$1,0)),"Y",'Vendor Master Enrich'!$B:$B,$L$10&amp;E$14,'Vendor Master Enrich'!J:J,"United States")),0))</f>
        <v>0</v>
      </c>
      <c r="F63" s="46"/>
      <c r="G63" s="18">
        <f>IF(L$11="All", IFERROR(SUM(SUMIFS('Vendor Master Enrich'!$D:$D,INDEX('Vendor Master Enrich'!$A:$ZZ,,MATCH($A63,'Vendor Master Enrich'!$A$1:$ZZ$1,0)),"Y",'Vendor Master Enrich'!$B:$B,$L$10&amp;G$14)),0),IFERROR(SUM(SUMIFS('Vendor Master Enrich'!$D:$D,INDEX('Vendor Master Enrich'!$A:$ZZ,,MATCH($A63,'Vendor Master Enrich'!$A$1:$ZZ$1,0)),"Y",'Vendor Master Enrich'!$B:$B,$L$10&amp;G$14,'Vendor Master Enrich'!J:J,"United States")),0))</f>
        <v>0</v>
      </c>
      <c r="H63" s="46"/>
      <c r="I63" s="18">
        <f>IF(L$11="All", IFERROR(SUM(SUMIFS('Vendor Master Enrich'!$D:$D,INDEX('Vendor Master Enrich'!$A:$ZZ,,MATCH($A63,'Vendor Master Enrich'!$A$1:$ZZ$1,0)),"Y",'Vendor Master Enrich'!$B:$B,$L$10&amp;I$14)),0),IFERROR(SUM(SUMIFS('Vendor Master Enrich'!$D:$D,INDEX('Vendor Master Enrich'!$A:$ZZ,,MATCH($A63,'Vendor Master Enrich'!$A$1:$ZZ$1,0)),"Y",'Vendor Master Enrich'!$B:$B,$L$10&amp;I$14,'Vendor Master Enrich'!J:J,"United States")),0))</f>
        <v>0</v>
      </c>
      <c r="J63" s="46"/>
      <c r="K63" s="18">
        <f t="shared" si="7"/>
        <v>0</v>
      </c>
      <c r="L63" s="48"/>
    </row>
    <row r="64" spans="1:13" x14ac:dyDescent="0.2">
      <c r="A64" s="27" t="s">
        <v>67</v>
      </c>
      <c r="B64" s="11" t="s">
        <v>68</v>
      </c>
      <c r="C64" s="18">
        <f>IF(L$11="All", IFERROR(SUM(SUMIFS('Vendor Master Enrich'!$D:$D,INDEX('Vendor Master Enrich'!$A:$ZZ,,MATCH($A64,'Vendor Master Enrich'!$A$1:$ZZ$1,0)),"Y",'Vendor Master Enrich'!$B:$B,$L$10&amp;C$14)),0),IFERROR(SUM(SUMIFS('Vendor Master Enrich'!$D:$D,INDEX('Vendor Master Enrich'!$A:$ZZ,,MATCH($A64,'Vendor Master Enrich'!$A$1:$ZZ$1,0)),"Y",'Vendor Master Enrich'!$B:$B,$L$10&amp;C$14,'Vendor Master Enrich'!J:J,"United States")),0))</f>
        <v>0</v>
      </c>
      <c r="D64" s="46"/>
      <c r="E64" s="18">
        <f>IF(L$11="All", IFERROR(SUM(SUMIFS('Vendor Master Enrich'!$D:$D,INDEX('Vendor Master Enrich'!$A:$ZZ,,MATCH($A64,'Vendor Master Enrich'!$A$1:$ZZ$1,0)),"Y",'Vendor Master Enrich'!$B:$B,$L$10&amp;E$14)),0),IFERROR(SUM(SUMIFS('Vendor Master Enrich'!$D:$D,INDEX('Vendor Master Enrich'!$A:$ZZ,,MATCH($A64,'Vendor Master Enrich'!$A$1:$ZZ$1,0)),"Y",'Vendor Master Enrich'!$B:$B,$L$10&amp;E$14,'Vendor Master Enrich'!J:J,"United States")),0))</f>
        <v>0</v>
      </c>
      <c r="F64" s="46"/>
      <c r="G64" s="18">
        <f>IF(L$11="All", IFERROR(SUM(SUMIFS('Vendor Master Enrich'!$D:$D,INDEX('Vendor Master Enrich'!$A:$ZZ,,MATCH($A64,'Vendor Master Enrich'!$A$1:$ZZ$1,0)),"Y",'Vendor Master Enrich'!$B:$B,$L$10&amp;G$14)),0),IFERROR(SUM(SUMIFS('Vendor Master Enrich'!$D:$D,INDEX('Vendor Master Enrich'!$A:$ZZ,,MATCH($A64,'Vendor Master Enrich'!$A$1:$ZZ$1,0)),"Y",'Vendor Master Enrich'!$B:$B,$L$10&amp;G$14,'Vendor Master Enrich'!J:J,"United States")),0))</f>
        <v>0</v>
      </c>
      <c r="H64" s="46"/>
      <c r="I64" s="18">
        <f>IF(L$11="All", IFERROR(SUM(SUMIFS('Vendor Master Enrich'!$D:$D,INDEX('Vendor Master Enrich'!$A:$ZZ,,MATCH($A64,'Vendor Master Enrich'!$A$1:$ZZ$1,0)),"Y",'Vendor Master Enrich'!$B:$B,$L$10&amp;I$14)),0),IFERROR(SUM(SUMIFS('Vendor Master Enrich'!$D:$D,INDEX('Vendor Master Enrich'!$A:$ZZ,,MATCH($A64,'Vendor Master Enrich'!$A$1:$ZZ$1,0)),"Y",'Vendor Master Enrich'!$B:$B,$L$10&amp;I$14,'Vendor Master Enrich'!J:J,"United States")),0))</f>
        <v>0</v>
      </c>
      <c r="J64" s="46"/>
      <c r="K64" s="18">
        <f t="shared" si="7"/>
        <v>0</v>
      </c>
      <c r="L64" s="48"/>
      <c r="M64" s="61"/>
    </row>
    <row r="65" spans="1:12" x14ac:dyDescent="0.2">
      <c r="A65" s="27" t="s">
        <v>69</v>
      </c>
      <c r="B65" s="11" t="s">
        <v>70</v>
      </c>
      <c r="C65" s="18">
        <f>IF(L$11="All", IFERROR(SUM(SUMIFS('Vendor Master Enrich'!$D:$D,INDEX('Vendor Master Enrich'!$A:$ZZ,,MATCH($A65,'Vendor Master Enrich'!$A$1:$ZZ$1,0)),"Y",'Vendor Master Enrich'!$B:$B,$L$10&amp;C$14)),0),IFERROR(SUM(SUMIFS('Vendor Master Enrich'!$D:$D,INDEX('Vendor Master Enrich'!$A:$ZZ,,MATCH($A65,'Vendor Master Enrich'!$A$1:$ZZ$1,0)),"Y",'Vendor Master Enrich'!$B:$B,$L$10&amp;C$14,'Vendor Master Enrich'!J:J,"United States")),0))</f>
        <v>0</v>
      </c>
      <c r="D65" s="46"/>
      <c r="E65" s="18">
        <f>IF(L$11="All", IFERROR(SUM(SUMIFS('Vendor Master Enrich'!$D:$D,INDEX('Vendor Master Enrich'!$A:$ZZ,,MATCH($A65,'Vendor Master Enrich'!$A$1:$ZZ$1,0)),"Y",'Vendor Master Enrich'!$B:$B,$L$10&amp;E$14)),0),IFERROR(SUM(SUMIFS('Vendor Master Enrich'!$D:$D,INDEX('Vendor Master Enrich'!$A:$ZZ,,MATCH($A65,'Vendor Master Enrich'!$A$1:$ZZ$1,0)),"Y",'Vendor Master Enrich'!$B:$B,$L$10&amp;E$14,'Vendor Master Enrich'!J:J,"United States")),0))</f>
        <v>0</v>
      </c>
      <c r="F65" s="46"/>
      <c r="G65" s="18">
        <f>IF(L$11="All", IFERROR(SUM(SUMIFS('Vendor Master Enrich'!$D:$D,INDEX('Vendor Master Enrich'!$A:$ZZ,,MATCH($A65,'Vendor Master Enrich'!$A$1:$ZZ$1,0)),"Y",'Vendor Master Enrich'!$B:$B,$L$10&amp;G$14)),0),IFERROR(SUM(SUMIFS('Vendor Master Enrich'!$D:$D,INDEX('Vendor Master Enrich'!$A:$ZZ,,MATCH($A65,'Vendor Master Enrich'!$A$1:$ZZ$1,0)),"Y",'Vendor Master Enrich'!$B:$B,$L$10&amp;G$14,'Vendor Master Enrich'!J:J,"United States")),0))</f>
        <v>0</v>
      </c>
      <c r="H65" s="46"/>
      <c r="I65" s="18">
        <f>IF(L$11="All", IFERROR(SUM(SUMIFS('Vendor Master Enrich'!$D:$D,INDEX('Vendor Master Enrich'!$A:$ZZ,,MATCH($A65,'Vendor Master Enrich'!$A$1:$ZZ$1,0)),"Y",'Vendor Master Enrich'!$B:$B,$L$10&amp;I$14)),0),IFERROR(SUM(SUMIFS('Vendor Master Enrich'!$D:$D,INDEX('Vendor Master Enrich'!$A:$ZZ,,MATCH($A65,'Vendor Master Enrich'!$A$1:$ZZ$1,0)),"Y",'Vendor Master Enrich'!$B:$B,$L$10&amp;I$14,'Vendor Master Enrich'!J:J,"United States")),0))</f>
        <v>0</v>
      </c>
      <c r="J65" s="46"/>
      <c r="K65" s="18">
        <f t="shared" si="7"/>
        <v>0</v>
      </c>
      <c r="L65" s="48"/>
    </row>
    <row r="66" spans="1:12" x14ac:dyDescent="0.2">
      <c r="A66" s="27" t="s">
        <v>71</v>
      </c>
      <c r="B66" s="11" t="s">
        <v>72</v>
      </c>
      <c r="C66" s="18">
        <f>IF(L$11="All", IFERROR(SUM(SUMIFS('Vendor Master Enrich'!$D:$D,INDEX('Vendor Master Enrich'!$A:$ZZ,,MATCH($A66,'Vendor Master Enrich'!$A$1:$ZZ$1,0)),"Y",'Vendor Master Enrich'!$B:$B,$L$10&amp;C$14)),0),IFERROR(SUM(SUMIFS('Vendor Master Enrich'!$D:$D,INDEX('Vendor Master Enrich'!$A:$ZZ,,MATCH($A66,'Vendor Master Enrich'!$A$1:$ZZ$1,0)),"Y",'Vendor Master Enrich'!$B:$B,$L$10&amp;C$14,'Vendor Master Enrich'!J:J,"United States")),0))</f>
        <v>0</v>
      </c>
      <c r="D66" s="46"/>
      <c r="E66" s="18">
        <f>IF(L$11="All", IFERROR(SUM(SUMIFS('Vendor Master Enrich'!$D:$D,INDEX('Vendor Master Enrich'!$A:$ZZ,,MATCH($A66,'Vendor Master Enrich'!$A$1:$ZZ$1,0)),"Y",'Vendor Master Enrich'!$B:$B,$L$10&amp;E$14)),0),IFERROR(SUM(SUMIFS('Vendor Master Enrich'!$D:$D,INDEX('Vendor Master Enrich'!$A:$ZZ,,MATCH($A66,'Vendor Master Enrich'!$A$1:$ZZ$1,0)),"Y",'Vendor Master Enrich'!$B:$B,$L$10&amp;E$14,'Vendor Master Enrich'!J:J,"United States")),0))</f>
        <v>0</v>
      </c>
      <c r="F66" s="46"/>
      <c r="G66" s="18">
        <f>IF(L$11="All", IFERROR(SUM(SUMIFS('Vendor Master Enrich'!$D:$D,INDEX('Vendor Master Enrich'!$A:$ZZ,,MATCH($A66,'Vendor Master Enrich'!$A$1:$ZZ$1,0)),"Y",'Vendor Master Enrich'!$B:$B,$L$10&amp;G$14)),0),IFERROR(SUM(SUMIFS('Vendor Master Enrich'!$D:$D,INDEX('Vendor Master Enrich'!$A:$ZZ,,MATCH($A66,'Vendor Master Enrich'!$A$1:$ZZ$1,0)),"Y",'Vendor Master Enrich'!$B:$B,$L$10&amp;G$14,'Vendor Master Enrich'!J:J,"United States")),0))</f>
        <v>0</v>
      </c>
      <c r="H66" s="46"/>
      <c r="I66" s="18">
        <f>IF(L$11="All", IFERROR(SUM(SUMIFS('Vendor Master Enrich'!$D:$D,INDEX('Vendor Master Enrich'!$A:$ZZ,,MATCH($A66,'Vendor Master Enrich'!$A$1:$ZZ$1,0)),"Y",'Vendor Master Enrich'!$B:$B,$L$10&amp;I$14)),0),IFERROR(SUM(SUMIFS('Vendor Master Enrich'!$D:$D,INDEX('Vendor Master Enrich'!$A:$ZZ,,MATCH($A66,'Vendor Master Enrich'!$A$1:$ZZ$1,0)),"Y",'Vendor Master Enrich'!$B:$B,$L$10&amp;I$14,'Vendor Master Enrich'!J:J,"United States")),0))</f>
        <v>0</v>
      </c>
      <c r="J66" s="46"/>
      <c r="K66" s="18">
        <f t="shared" si="7"/>
        <v>0</v>
      </c>
      <c r="L66" s="48"/>
    </row>
    <row r="67" spans="1:12" x14ac:dyDescent="0.2">
      <c r="A67" s="27" t="s">
        <v>73</v>
      </c>
      <c r="B67" s="11" t="s">
        <v>74</v>
      </c>
      <c r="C67" s="18">
        <f>IF(L$11="All", IFERROR(SUM(SUMIFS('Vendor Master Enrich'!$D:$D,INDEX('Vendor Master Enrich'!$A:$ZZ,,MATCH($A67,'Vendor Master Enrich'!$A$1:$ZZ$1,0)),"Y",'Vendor Master Enrich'!$B:$B,$L$10&amp;C$14)),0),IFERROR(SUM(SUMIFS('Vendor Master Enrich'!$D:$D,INDEX('Vendor Master Enrich'!$A:$ZZ,,MATCH($A67,'Vendor Master Enrich'!$A$1:$ZZ$1,0)),"Y",'Vendor Master Enrich'!$B:$B,$L$10&amp;C$14,'Vendor Master Enrich'!J:J,"United States")),0))</f>
        <v>0</v>
      </c>
      <c r="D67" s="46"/>
      <c r="E67" s="18">
        <f>IF(L$11="All", IFERROR(SUM(SUMIFS('Vendor Master Enrich'!$D:$D,INDEX('Vendor Master Enrich'!$A:$ZZ,,MATCH($A67,'Vendor Master Enrich'!$A$1:$ZZ$1,0)),"Y",'Vendor Master Enrich'!$B:$B,$L$10&amp;E$14)),0),IFERROR(SUM(SUMIFS('Vendor Master Enrich'!$D:$D,INDEX('Vendor Master Enrich'!$A:$ZZ,,MATCH($A67,'Vendor Master Enrich'!$A$1:$ZZ$1,0)),"Y",'Vendor Master Enrich'!$B:$B,$L$10&amp;E$14,'Vendor Master Enrich'!J:J,"United States")),0))</f>
        <v>0</v>
      </c>
      <c r="F67" s="46"/>
      <c r="G67" s="18">
        <f>IF(L$11="All", IFERROR(SUM(SUMIFS('Vendor Master Enrich'!$D:$D,INDEX('Vendor Master Enrich'!$A:$ZZ,,MATCH($A67,'Vendor Master Enrich'!$A$1:$ZZ$1,0)),"Y",'Vendor Master Enrich'!$B:$B,$L$10&amp;G$14)),0),IFERROR(SUM(SUMIFS('Vendor Master Enrich'!$D:$D,INDEX('Vendor Master Enrich'!$A:$ZZ,,MATCH($A67,'Vendor Master Enrich'!$A$1:$ZZ$1,0)),"Y",'Vendor Master Enrich'!$B:$B,$L$10&amp;G$14,'Vendor Master Enrich'!J:J,"United States")),0))</f>
        <v>0</v>
      </c>
      <c r="H67" s="46"/>
      <c r="I67" s="18">
        <f>IF(L$11="All", IFERROR(SUM(SUMIFS('Vendor Master Enrich'!$D:$D,INDEX('Vendor Master Enrich'!$A:$ZZ,,MATCH($A67,'Vendor Master Enrich'!$A$1:$ZZ$1,0)),"Y",'Vendor Master Enrich'!$B:$B,$L$10&amp;I$14)),0),IFERROR(SUM(SUMIFS('Vendor Master Enrich'!$D:$D,INDEX('Vendor Master Enrich'!$A:$ZZ,,MATCH($A67,'Vendor Master Enrich'!$A$1:$ZZ$1,0)),"Y",'Vendor Master Enrich'!$B:$B,$L$10&amp;I$14,'Vendor Master Enrich'!J:J,"United States")),0))</f>
        <v>0</v>
      </c>
      <c r="J67" s="46"/>
      <c r="K67" s="18">
        <f t="shared" si="7"/>
        <v>0</v>
      </c>
      <c r="L67" s="48"/>
    </row>
    <row r="68" spans="1:12" x14ac:dyDescent="0.2">
      <c r="A68" s="27" t="s">
        <v>75</v>
      </c>
      <c r="B68" s="22" t="s">
        <v>76</v>
      </c>
      <c r="C68" s="49">
        <f>IF(L$11="All", IFERROR(SUM(SUMIFS('Vendor Master Enrich'!$D:$D,INDEX('Vendor Master Enrich'!$A:$ZZ,,MATCH($A68,'Vendor Master Enrich'!$A$1:$ZZ$1,0)),"Y",'Vendor Master Enrich'!$B:$B,$L$10&amp;C$14)),0),IFERROR(SUM(SUMIFS('Vendor Master Enrich'!$D:$D,INDEX('Vendor Master Enrich'!$A:$ZZ,,MATCH($A68,'Vendor Master Enrich'!$A$1:$ZZ$1,0)),"Y",'Vendor Master Enrich'!$B:$B,$L$10&amp;C$14,'Vendor Master Enrich'!J:J,"United States")),0))</f>
        <v>0</v>
      </c>
      <c r="D68" s="50"/>
      <c r="E68" s="49">
        <f>IF(L$11="All", IFERROR(SUM(SUMIFS('Vendor Master Enrich'!$D:$D,INDEX('Vendor Master Enrich'!$A:$ZZ,,MATCH($A68,'Vendor Master Enrich'!$A$1:$ZZ$1,0)),"Y",'Vendor Master Enrich'!$B:$B,$L$10&amp;E$14)),0),IFERROR(SUM(SUMIFS('Vendor Master Enrich'!$D:$D,INDEX('Vendor Master Enrich'!$A:$ZZ,,MATCH($A68,'Vendor Master Enrich'!$A$1:$ZZ$1,0)),"Y",'Vendor Master Enrich'!$B:$B,$L$10&amp;E$14,'Vendor Master Enrich'!J:J,"United States")),0))</f>
        <v>0</v>
      </c>
      <c r="F68" s="50"/>
      <c r="G68" s="49">
        <f>IF(L$11="All", IFERROR(SUM(SUMIFS('Vendor Master Enrich'!$D:$D,INDEX('Vendor Master Enrich'!$A:$ZZ,,MATCH($A68,'Vendor Master Enrich'!$A$1:$ZZ$1,0)),"Y",'Vendor Master Enrich'!$B:$B,$L$10&amp;G$14)),0),IFERROR(SUM(SUMIFS('Vendor Master Enrich'!$D:$D,INDEX('Vendor Master Enrich'!$A:$ZZ,,MATCH($A68,'Vendor Master Enrich'!$A$1:$ZZ$1,0)),"Y",'Vendor Master Enrich'!$B:$B,$L$10&amp;G$14,'Vendor Master Enrich'!J:J,"United States")),0))</f>
        <v>0</v>
      </c>
      <c r="H68" s="50"/>
      <c r="I68" s="49">
        <f>IF(L$11="All", IFERROR(SUM(SUMIFS('Vendor Master Enrich'!$D:$D,INDEX('Vendor Master Enrich'!$A:$ZZ,,MATCH($A68,'Vendor Master Enrich'!$A$1:$ZZ$1,0)),"Y",'Vendor Master Enrich'!$B:$B,$L$10&amp;I$14)),0),IFERROR(SUM(SUMIFS('Vendor Master Enrich'!$D:$D,INDEX('Vendor Master Enrich'!$A:$ZZ,,MATCH($A68,'Vendor Master Enrich'!$A$1:$ZZ$1,0)),"Y",'Vendor Master Enrich'!$B:$B,$L$10&amp;I$14,'Vendor Master Enrich'!J:J,"United States")),0))</f>
        <v>0</v>
      </c>
      <c r="J68" s="50"/>
      <c r="K68" s="49">
        <f t="shared" si="7"/>
        <v>0</v>
      </c>
      <c r="L68" s="51"/>
    </row>
    <row r="69" spans="1:12" x14ac:dyDescent="0.2">
      <c r="A69" s="27" t="s">
        <v>77</v>
      </c>
      <c r="B69" s="25" t="s">
        <v>78</v>
      </c>
      <c r="C69" s="18">
        <f>IF(L$11="All", IFERROR(SUM(SUMIFS('Vendor Master Enrich'!$D:$D,INDEX('Vendor Master Enrich'!$A:$ZZ,,MATCH($A69,'Vendor Master Enrich'!$A$1:$ZZ$1,0)),"Y",'Vendor Master Enrich'!$B:$B,$L$10&amp;C$14)),0),IFERROR(SUM(SUMIFS('Vendor Master Enrich'!$D:$D,INDEX('Vendor Master Enrich'!$A:$ZZ,,MATCH($A69,'Vendor Master Enrich'!$A$1:$ZZ$1,0)),"Y",'Vendor Master Enrich'!$B:$B,$L$10&amp;C$14,'Vendor Master Enrich'!J:J,"United States")),0))</f>
        <v>0</v>
      </c>
      <c r="D69" s="52"/>
      <c r="E69" s="18">
        <f>IF(L$11="All", IFERROR(SUM(SUMIFS('Vendor Master Enrich'!$D:$D,INDEX('Vendor Master Enrich'!$A:$ZZ,,MATCH($A69,'Vendor Master Enrich'!$A$1:$ZZ$1,0)),"Y",'Vendor Master Enrich'!$B:$B,$L$10&amp;E$14)),0),IFERROR(SUM(SUMIFS('Vendor Master Enrich'!$D:$D,INDEX('Vendor Master Enrich'!$A:$ZZ,,MATCH($A69,'Vendor Master Enrich'!$A$1:$ZZ$1,0)),"Y",'Vendor Master Enrich'!$B:$B,$L$10&amp;E$14,'Vendor Master Enrich'!J:J,"United States")),0))</f>
        <v>0</v>
      </c>
      <c r="F69" s="52"/>
      <c r="G69" s="18">
        <f>IF(L$11="All", IFERROR(SUM(SUMIFS('Vendor Master Enrich'!$D:$D,INDEX('Vendor Master Enrich'!$A:$ZZ,,MATCH($A69,'Vendor Master Enrich'!$A$1:$ZZ$1,0)),"Y",'Vendor Master Enrich'!$B:$B,$L$10&amp;G$14)),0),IFERROR(SUM(SUMIFS('Vendor Master Enrich'!$D:$D,INDEX('Vendor Master Enrich'!$A:$ZZ,,MATCH($A69,'Vendor Master Enrich'!$A$1:$ZZ$1,0)),"Y",'Vendor Master Enrich'!$B:$B,$L$10&amp;G$14,'Vendor Master Enrich'!J:J,"United States")),0))</f>
        <v>0</v>
      </c>
      <c r="H69" s="52"/>
      <c r="I69" s="18">
        <f>IF(L$11="All", IFERROR(SUM(SUMIFS('Vendor Master Enrich'!$D:$D,INDEX('Vendor Master Enrich'!$A:$ZZ,,MATCH($A69,'Vendor Master Enrich'!$A$1:$ZZ$1,0)),"Y",'Vendor Master Enrich'!$B:$B,$L$10&amp;I$14)),0),IFERROR(SUM(SUMIFS('Vendor Master Enrich'!$D:$D,INDEX('Vendor Master Enrich'!$A:$ZZ,,MATCH($A69,'Vendor Master Enrich'!$A$1:$ZZ$1,0)),"Y",'Vendor Master Enrich'!$B:$B,$L$10&amp;I$14,'Vendor Master Enrich'!J:J,"United States")),0))</f>
        <v>0</v>
      </c>
      <c r="J69" s="52"/>
      <c r="K69" s="18">
        <f t="shared" si="7"/>
        <v>0</v>
      </c>
      <c r="L69" s="48"/>
    </row>
    <row r="70" spans="1:12" x14ac:dyDescent="0.2">
      <c r="A70" s="27" t="s">
        <v>79</v>
      </c>
      <c r="B70" s="11" t="s">
        <v>80</v>
      </c>
      <c r="C70" s="18">
        <f>IF(L$11="All", IFERROR(SUM(SUMIFS('Vendor Master Enrich'!$D:$D,INDEX('Vendor Master Enrich'!$A:$ZZ,,MATCH($A70,'Vendor Master Enrich'!$A$1:$ZZ$1,0)),"Y",'Vendor Master Enrich'!$B:$B,$L$10&amp;C$14)),0),IFERROR(SUM(SUMIFS('Vendor Master Enrich'!$D:$D,INDEX('Vendor Master Enrich'!$A:$ZZ,,MATCH($A70,'Vendor Master Enrich'!$A$1:$ZZ$1,0)),"Y",'Vendor Master Enrich'!$B:$B,$L$10&amp;C$14,'Vendor Master Enrich'!J:J,"United States")),0))</f>
        <v>0</v>
      </c>
      <c r="D70" s="46"/>
      <c r="E70" s="18">
        <f>IF(L$11="All", IFERROR(SUM(SUMIFS('Vendor Master Enrich'!$D:$D,INDEX('Vendor Master Enrich'!$A:$ZZ,,MATCH($A70,'Vendor Master Enrich'!$A$1:$ZZ$1,0)),"Y",'Vendor Master Enrich'!$B:$B,$L$10&amp;E$14)),0),IFERROR(SUM(SUMIFS('Vendor Master Enrich'!$D:$D,INDEX('Vendor Master Enrich'!$A:$ZZ,,MATCH($A70,'Vendor Master Enrich'!$A$1:$ZZ$1,0)),"Y",'Vendor Master Enrich'!$B:$B,$L$10&amp;E$14,'Vendor Master Enrich'!J:J,"United States")),0))</f>
        <v>0</v>
      </c>
      <c r="F70" s="46"/>
      <c r="G70" s="18">
        <f>IF(L$11="All", IFERROR(SUM(SUMIFS('Vendor Master Enrich'!$D:$D,INDEX('Vendor Master Enrich'!$A:$ZZ,,MATCH($A70,'Vendor Master Enrich'!$A$1:$ZZ$1,0)),"Y",'Vendor Master Enrich'!$B:$B,$L$10&amp;G$14)),0),IFERROR(SUM(SUMIFS('Vendor Master Enrich'!$D:$D,INDEX('Vendor Master Enrich'!$A:$ZZ,,MATCH($A70,'Vendor Master Enrich'!$A$1:$ZZ$1,0)),"Y",'Vendor Master Enrich'!$B:$B,$L$10&amp;G$14,'Vendor Master Enrich'!J:J,"United States")),0))</f>
        <v>0</v>
      </c>
      <c r="H70" s="46"/>
      <c r="I70" s="18">
        <f>IF(L$11="All", IFERROR(SUM(SUMIFS('Vendor Master Enrich'!$D:$D,INDEX('Vendor Master Enrich'!$A:$ZZ,,MATCH($A70,'Vendor Master Enrich'!$A$1:$ZZ$1,0)),"Y",'Vendor Master Enrich'!$B:$B,$L$10&amp;I$14)),0),IFERROR(SUM(SUMIFS('Vendor Master Enrich'!$D:$D,INDEX('Vendor Master Enrich'!$A:$ZZ,,MATCH($A70,'Vendor Master Enrich'!$A$1:$ZZ$1,0)),"Y",'Vendor Master Enrich'!$B:$B,$L$10&amp;I$14,'Vendor Master Enrich'!J:J,"United States")),0))</f>
        <v>0</v>
      </c>
      <c r="J70" s="46"/>
      <c r="K70" s="18">
        <f t="shared" si="7"/>
        <v>0</v>
      </c>
      <c r="L70" s="48"/>
    </row>
    <row r="71" spans="1:12" x14ac:dyDescent="0.2">
      <c r="A71" s="27" t="s">
        <v>81</v>
      </c>
      <c r="B71" s="11" t="s">
        <v>82</v>
      </c>
      <c r="C71" s="18">
        <f>IF(L$11="All", IFERROR(SUM(SUMIFS('Vendor Master Enrich'!$D:$D,INDEX('Vendor Master Enrich'!$A:$ZZ,,MATCH($A71,'Vendor Master Enrich'!$A$1:$ZZ$1,0)),"Y",'Vendor Master Enrich'!$B:$B,$L$10&amp;C$14)),0),IFERROR(SUM(SUMIFS('Vendor Master Enrich'!$D:$D,INDEX('Vendor Master Enrich'!$A:$ZZ,,MATCH($A71,'Vendor Master Enrich'!$A$1:$ZZ$1,0)),"Y",'Vendor Master Enrich'!$B:$B,$L$10&amp;C$14,'Vendor Master Enrich'!J:J,"United States")),0))</f>
        <v>0</v>
      </c>
      <c r="D71" s="46"/>
      <c r="E71" s="18">
        <f>IF(L$11="All", IFERROR(SUM(SUMIFS('Vendor Master Enrich'!$D:$D,INDEX('Vendor Master Enrich'!$A:$ZZ,,MATCH($A71,'Vendor Master Enrich'!$A$1:$ZZ$1,0)),"Y",'Vendor Master Enrich'!$B:$B,$L$10&amp;E$14)),0),IFERROR(SUM(SUMIFS('Vendor Master Enrich'!$D:$D,INDEX('Vendor Master Enrich'!$A:$ZZ,,MATCH($A71,'Vendor Master Enrich'!$A$1:$ZZ$1,0)),"Y",'Vendor Master Enrich'!$B:$B,$L$10&amp;E$14,'Vendor Master Enrich'!J:J,"United States")),0))</f>
        <v>0</v>
      </c>
      <c r="F71" s="46"/>
      <c r="G71" s="18">
        <f>IF(L$11="All", IFERROR(SUM(SUMIFS('Vendor Master Enrich'!$D:$D,INDEX('Vendor Master Enrich'!$A:$ZZ,,MATCH($A71,'Vendor Master Enrich'!$A$1:$ZZ$1,0)),"Y",'Vendor Master Enrich'!$B:$B,$L$10&amp;G$14)),0),IFERROR(SUM(SUMIFS('Vendor Master Enrich'!$D:$D,INDEX('Vendor Master Enrich'!$A:$ZZ,,MATCH($A71,'Vendor Master Enrich'!$A$1:$ZZ$1,0)),"Y",'Vendor Master Enrich'!$B:$B,$L$10&amp;G$14,'Vendor Master Enrich'!J:J,"United States")),0))</f>
        <v>0</v>
      </c>
      <c r="H71" s="46"/>
      <c r="I71" s="18">
        <f>IF(L$11="All", IFERROR(SUM(SUMIFS('Vendor Master Enrich'!$D:$D,INDEX('Vendor Master Enrich'!$A:$ZZ,,MATCH($A71,'Vendor Master Enrich'!$A$1:$ZZ$1,0)),"Y",'Vendor Master Enrich'!$B:$B,$L$10&amp;I$14)),0),IFERROR(SUM(SUMIFS('Vendor Master Enrich'!$D:$D,INDEX('Vendor Master Enrich'!$A:$ZZ,,MATCH($A71,'Vendor Master Enrich'!$A$1:$ZZ$1,0)),"Y",'Vendor Master Enrich'!$B:$B,$L$10&amp;I$14,'Vendor Master Enrich'!J:J,"United States")),0))</f>
        <v>0</v>
      </c>
      <c r="J71" s="46"/>
      <c r="K71" s="18">
        <f t="shared" si="7"/>
        <v>0</v>
      </c>
      <c r="L71" s="48"/>
    </row>
    <row r="72" spans="1:12" x14ac:dyDescent="0.2">
      <c r="A72" s="27" t="s">
        <v>83</v>
      </c>
      <c r="B72" s="11" t="s">
        <v>84</v>
      </c>
      <c r="C72" s="18">
        <f>IF(L$11="All", IFERROR(SUM(SUMIFS('Vendor Master Enrich'!$D:$D,INDEX('Vendor Master Enrich'!$A:$ZZ,,MATCH($A72,'Vendor Master Enrich'!$A$1:$ZZ$1,0)),"Y",'Vendor Master Enrich'!$B:$B,$L$10&amp;C$14)),0),IFERROR(SUM(SUMIFS('Vendor Master Enrich'!$D:$D,INDEX('Vendor Master Enrich'!$A:$ZZ,,MATCH($A72,'Vendor Master Enrich'!$A$1:$ZZ$1,0)),"Y",'Vendor Master Enrich'!$B:$B,$L$10&amp;C$14,'Vendor Master Enrich'!J:J,"United States")),0))</f>
        <v>0</v>
      </c>
      <c r="D72" s="46"/>
      <c r="E72" s="18">
        <f>IF(L$11="All", IFERROR(SUM(SUMIFS('Vendor Master Enrich'!$D:$D,INDEX('Vendor Master Enrich'!$A:$ZZ,,MATCH($A72,'Vendor Master Enrich'!$A$1:$ZZ$1,0)),"Y",'Vendor Master Enrich'!$B:$B,$L$10&amp;E$14)),0),IFERROR(SUM(SUMIFS('Vendor Master Enrich'!$D:$D,INDEX('Vendor Master Enrich'!$A:$ZZ,,MATCH($A72,'Vendor Master Enrich'!$A$1:$ZZ$1,0)),"Y",'Vendor Master Enrich'!$B:$B,$L$10&amp;E$14,'Vendor Master Enrich'!J:J,"United States")),0))</f>
        <v>0</v>
      </c>
      <c r="F72" s="46"/>
      <c r="G72" s="18">
        <f>IF(L$11="All", IFERROR(SUM(SUMIFS('Vendor Master Enrich'!$D:$D,INDEX('Vendor Master Enrich'!$A:$ZZ,,MATCH($A72,'Vendor Master Enrich'!$A$1:$ZZ$1,0)),"Y",'Vendor Master Enrich'!$B:$B,$L$10&amp;G$14)),0),IFERROR(SUM(SUMIFS('Vendor Master Enrich'!$D:$D,INDEX('Vendor Master Enrich'!$A:$ZZ,,MATCH($A72,'Vendor Master Enrich'!$A$1:$ZZ$1,0)),"Y",'Vendor Master Enrich'!$B:$B,$L$10&amp;G$14,'Vendor Master Enrich'!J:J,"United States")),0))</f>
        <v>0</v>
      </c>
      <c r="H72" s="46"/>
      <c r="I72" s="18">
        <f>IF(L$11="All", IFERROR(SUM(SUMIFS('Vendor Master Enrich'!$D:$D,INDEX('Vendor Master Enrich'!$A:$ZZ,,MATCH($A72,'Vendor Master Enrich'!$A$1:$ZZ$1,0)),"Y",'Vendor Master Enrich'!$B:$B,$L$10&amp;I$14)),0),IFERROR(SUM(SUMIFS('Vendor Master Enrich'!$D:$D,INDEX('Vendor Master Enrich'!$A:$ZZ,,MATCH($A72,'Vendor Master Enrich'!$A$1:$ZZ$1,0)),"Y",'Vendor Master Enrich'!$B:$B,$L$10&amp;I$14,'Vendor Master Enrich'!J:J,"United States")),0))</f>
        <v>0</v>
      </c>
      <c r="J72" s="46"/>
      <c r="K72" s="18">
        <f t="shared" si="7"/>
        <v>0</v>
      </c>
      <c r="L72" s="48"/>
    </row>
    <row r="73" spans="1:12" x14ac:dyDescent="0.2">
      <c r="A73" s="27" t="s">
        <v>85</v>
      </c>
      <c r="B73" s="22" t="s">
        <v>86</v>
      </c>
      <c r="C73" s="49">
        <f>IF(L$11="All", IFERROR(SUM(SUMIFS('Vendor Master Enrich'!$D:$D,INDEX('Vendor Master Enrich'!$A:$ZZ,,MATCH($A73,'Vendor Master Enrich'!$A$1:$ZZ$1,0)),"Y",'Vendor Master Enrich'!$B:$B,$L$10&amp;C$14)),0),IFERROR(SUM(SUMIFS('Vendor Master Enrich'!$D:$D,INDEX('Vendor Master Enrich'!$A:$ZZ,,MATCH($A73,'Vendor Master Enrich'!$A$1:$ZZ$1,0)),"Y",'Vendor Master Enrich'!$B:$B,$L$10&amp;C$14,'Vendor Master Enrich'!J:J,"United States")),0))</f>
        <v>0</v>
      </c>
      <c r="D73" s="50"/>
      <c r="E73" s="49">
        <f>IF(L$11="All", IFERROR(SUM(SUMIFS('Vendor Master Enrich'!$D:$D,INDEX('Vendor Master Enrich'!$A:$ZZ,,MATCH($A73,'Vendor Master Enrich'!$A$1:$ZZ$1,0)),"Y",'Vendor Master Enrich'!$B:$B,$L$10&amp;E$14)),0),IFERROR(SUM(SUMIFS('Vendor Master Enrich'!$D:$D,INDEX('Vendor Master Enrich'!$A:$ZZ,,MATCH($A73,'Vendor Master Enrich'!$A$1:$ZZ$1,0)),"Y",'Vendor Master Enrich'!$B:$B,$L$10&amp;E$14,'Vendor Master Enrich'!J:J,"United States")),0))</f>
        <v>0</v>
      </c>
      <c r="F73" s="50"/>
      <c r="G73" s="49">
        <f>IF(L$11="All", IFERROR(SUM(SUMIFS('Vendor Master Enrich'!$D:$D,INDEX('Vendor Master Enrich'!$A:$ZZ,,MATCH($A73,'Vendor Master Enrich'!$A$1:$ZZ$1,0)),"Y",'Vendor Master Enrich'!$B:$B,$L$10&amp;G$14)),0),IFERROR(SUM(SUMIFS('Vendor Master Enrich'!$D:$D,INDEX('Vendor Master Enrich'!$A:$ZZ,,MATCH($A73,'Vendor Master Enrich'!$A$1:$ZZ$1,0)),"Y",'Vendor Master Enrich'!$B:$B,$L$10&amp;G$14,'Vendor Master Enrich'!J:J,"United States")),0))</f>
        <v>0</v>
      </c>
      <c r="H73" s="50"/>
      <c r="I73" s="49">
        <f>IF(L$11="All", IFERROR(SUM(SUMIFS('Vendor Master Enrich'!$D:$D,INDEX('Vendor Master Enrich'!$A:$ZZ,,MATCH($A73,'Vendor Master Enrich'!$A$1:$ZZ$1,0)),"Y",'Vendor Master Enrich'!$B:$B,$L$10&amp;I$14)),0),IFERROR(SUM(SUMIFS('Vendor Master Enrich'!$D:$D,INDEX('Vendor Master Enrich'!$A:$ZZ,,MATCH($A73,'Vendor Master Enrich'!$A$1:$ZZ$1,0)),"Y",'Vendor Master Enrich'!$B:$B,$L$10&amp;I$14,'Vendor Master Enrich'!J:J,"United States")),0))</f>
        <v>0</v>
      </c>
      <c r="J73" s="50"/>
      <c r="K73" s="49">
        <f t="shared" si="7"/>
        <v>0</v>
      </c>
      <c r="L73" s="51"/>
    </row>
  </sheetData>
  <mergeCells count="22">
    <mergeCell ref="C24:D24"/>
    <mergeCell ref="E24:F24"/>
    <mergeCell ref="G24:H24"/>
    <mergeCell ref="I24:J24"/>
    <mergeCell ref="K24:L24"/>
    <mergeCell ref="B2:L2"/>
    <mergeCell ref="B9:L9"/>
    <mergeCell ref="C14:D14"/>
    <mergeCell ref="E14:F14"/>
    <mergeCell ref="G14:H14"/>
    <mergeCell ref="I14:J14"/>
    <mergeCell ref="K14:L14"/>
    <mergeCell ref="C43:D43"/>
    <mergeCell ref="E43:F43"/>
    <mergeCell ref="G43:H43"/>
    <mergeCell ref="I43:J43"/>
    <mergeCell ref="K43:L43"/>
    <mergeCell ref="C61:D61"/>
    <mergeCell ref="E61:F61"/>
    <mergeCell ref="G61:H61"/>
    <mergeCell ref="I61:J61"/>
    <mergeCell ref="K61:L61"/>
  </mergeCells>
  <dataValidations count="3">
    <dataValidation type="list" showInputMessage="1" showErrorMessage="1" sqref="L12" xr:uid="{00000000-0002-0000-0000-000000000000}">
      <formula1>"All,Qualified, Potential"</formula1>
    </dataValidation>
    <dataValidation type="list" showInputMessage="1" showErrorMessage="1" sqref="L10" xr:uid="{00000000-0002-0000-0000-000001000000}">
      <formula1>"2017,2018,2019,2020,2021,2022,2023"</formula1>
    </dataValidation>
    <dataValidation type="list" showInputMessage="1" showErrorMessage="1" sqref="L11" xr:uid="{00000000-0002-0000-0000-000002000000}">
      <formula1>"U.S.,All"</formula1>
    </dataValidation>
  </dataValidations>
  <hyperlinks>
    <hyperlink ref="M14" r:id="rId1" display="(This table represents the spend Information for the selected fiscal year and certification option. Please click LINK to navigate for details)" xr:uid="{00000000-0004-0000-0000-000000000000}"/>
  </hyperlinks>
  <pageMargins left="0.7" right="0.7" top="0.75" bottom="0.75" header="0.3" footer="0.3"/>
  <pageSetup orientation="landscape"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2"/>
  <sheetViews>
    <sheetView workbookViewId="0">
      <selection activeCell="I3" sqref="I3"/>
    </sheetView>
  </sheetViews>
  <sheetFormatPr baseColWidth="10" defaultRowHeight="16" x14ac:dyDescent="0.2"/>
  <cols>
    <col min="15" max="15" width="15.6640625" customWidth="1"/>
    <col min="16" max="16" width="17.33203125" customWidth="1"/>
  </cols>
  <sheetData>
    <row r="1" spans="1:16" ht="34" customHeight="1" x14ac:dyDescent="0.3">
      <c r="A1" s="137" t="s">
        <v>123</v>
      </c>
      <c r="B1" s="137"/>
      <c r="C1" s="137"/>
      <c r="D1" s="137"/>
      <c r="E1" s="137"/>
      <c r="F1" s="137"/>
      <c r="G1" s="137"/>
      <c r="H1" s="137"/>
      <c r="I1" s="137"/>
      <c r="J1" s="137"/>
      <c r="K1" s="137"/>
      <c r="L1" s="137"/>
      <c r="M1" s="137"/>
      <c r="N1" s="137"/>
      <c r="O1" s="137"/>
      <c r="P1" s="137"/>
    </row>
    <row r="2" spans="1:16" s="124" customFormat="1" ht="19" x14ac:dyDescent="0.2">
      <c r="A2" s="123" t="s">
        <v>87</v>
      </c>
      <c r="B2" s="123" t="s">
        <v>88</v>
      </c>
      <c r="C2" s="123" t="s">
        <v>89</v>
      </c>
      <c r="D2" s="123" t="s">
        <v>90</v>
      </c>
      <c r="E2" s="123" t="s">
        <v>91</v>
      </c>
      <c r="F2" s="123" t="s">
        <v>92</v>
      </c>
      <c r="G2" s="123" t="s">
        <v>93</v>
      </c>
      <c r="H2" s="123" t="s">
        <v>94</v>
      </c>
      <c r="I2" s="123" t="s">
        <v>95</v>
      </c>
      <c r="J2" s="123" t="s">
        <v>96</v>
      </c>
      <c r="K2" s="123" t="s">
        <v>97</v>
      </c>
      <c r="L2" s="123" t="s">
        <v>98</v>
      </c>
      <c r="M2" s="123" t="s">
        <v>99</v>
      </c>
      <c r="N2" s="123" t="s">
        <v>100</v>
      </c>
      <c r="O2" s="123" t="s">
        <v>163</v>
      </c>
      <c r="P2" s="123" t="s">
        <v>164</v>
      </c>
    </row>
  </sheetData>
  <mergeCells count="1">
    <mergeCell ref="A1:P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RowHeight="16" x14ac:dyDescent="0.2"/>
  <sheetData>
    <row r="1" spans="1:1" ht="29" customHeight="1" x14ac:dyDescent="0.25">
      <c r="A1" s="125"/>
    </row>
    <row r="2" spans="1:1" s="126" customFormat="1"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20"/>
  <sheetViews>
    <sheetView showGridLines="0" workbookViewId="0">
      <selection activeCell="G8" sqref="G8"/>
    </sheetView>
  </sheetViews>
  <sheetFormatPr baseColWidth="10" defaultRowHeight="16" x14ac:dyDescent="0.2"/>
  <cols>
    <col min="2" max="2" width="12.5" bestFit="1" customWidth="1"/>
    <col min="3" max="3" width="26.83203125" customWidth="1"/>
    <col min="4" max="4" width="15.6640625" bestFit="1" customWidth="1"/>
    <col min="5" max="6" width="12.5" bestFit="1" customWidth="1"/>
    <col min="7" max="7" width="13.1640625" bestFit="1" customWidth="1"/>
    <col min="8" max="8" width="13.5" bestFit="1" customWidth="1"/>
  </cols>
  <sheetData>
    <row r="1" spans="2:7" ht="20" customHeight="1" x14ac:dyDescent="0.2">
      <c r="B1" s="6" t="s">
        <v>107</v>
      </c>
      <c r="C1" s="58" t="s">
        <v>102</v>
      </c>
      <c r="D1" s="23" t="s">
        <v>108</v>
      </c>
    </row>
    <row r="2" spans="2:7" ht="20" customHeight="1" x14ac:dyDescent="0.2">
      <c r="B2" s="6" t="s">
        <v>109</v>
      </c>
      <c r="C2" s="58" t="s">
        <v>103</v>
      </c>
      <c r="D2" s="23" t="s">
        <v>108</v>
      </c>
    </row>
    <row r="5" spans="2:7" x14ac:dyDescent="0.2">
      <c r="B5" s="28" t="str">
        <f>C1</f>
        <v>2022Q1</v>
      </c>
      <c r="C5" s="29">
        <f>SUMIFS('Vendor Master Enrich'!$D:$D,'Vendor Master Enrich'!$B:$B,$C$1)/10^6</f>
        <v>0</v>
      </c>
      <c r="D5" s="29"/>
      <c r="E5" s="29"/>
      <c r="F5" s="29"/>
    </row>
    <row r="6" spans="2:7" x14ac:dyDescent="0.2">
      <c r="B6" s="28" t="s">
        <v>110</v>
      </c>
      <c r="C6" s="29" t="e">
        <f>C5-D6</f>
        <v>#N/A</v>
      </c>
      <c r="D6" s="29" t="e">
        <f>SUMIFS(INDEX(Aggregate!$A:$Z,,MATCH($C$1,Aggregate!$A$1:$Z$1,0)),INDEX(Aggregate!$A:$Z,,MATCH($C$2,Aggregate!$A$1:$Z$1,0)),0)/10^6</f>
        <v>#N/A</v>
      </c>
      <c r="E6" s="29"/>
      <c r="F6" s="29"/>
    </row>
    <row r="7" spans="2:7" x14ac:dyDescent="0.2">
      <c r="B7" s="28" t="s">
        <v>111</v>
      </c>
      <c r="C7" s="29" t="e">
        <f>C6</f>
        <v>#N/A</v>
      </c>
      <c r="D7" s="29"/>
      <c r="E7" s="29" t="e">
        <f>SUMIFS(INDEX(Aggregate!$A:$Z,,MATCH($C$2,Aggregate!$A$1:$Z$1,0)),INDEX(Aggregate!$A:$Z,,MATCH($C$1,Aggregate!$A$1:$Z$1,0)),0)/10^6</f>
        <v>#N/A</v>
      </c>
      <c r="F7" s="29"/>
    </row>
    <row r="8" spans="2:7" x14ac:dyDescent="0.2">
      <c r="B8" s="28" t="s">
        <v>112</v>
      </c>
      <c r="C8" s="29" t="e">
        <f>IF(G8&gt;0,C7+E7,C7+E7+G8)</f>
        <v>#N/A</v>
      </c>
      <c r="D8" s="29"/>
      <c r="E8" s="29" t="e">
        <f>IF(G8&lt;0,-G8,G8)</f>
        <v>#N/A</v>
      </c>
      <c r="F8" s="29"/>
      <c r="G8" t="e">
        <f>(SUMIFS(INDEX(Aggregate!$A:$Z,,MATCH($C$2,Aggregate!$A$1:$Z$1,0)),INDEX(Aggregate!$A:$Z,,MATCH($C$1,Aggregate!$A$1:$Z$1,0)),"&lt;&gt;0")-SUMIFS(INDEX(Aggregate!$A:$Z,,MATCH($C$1,Aggregate!$A$1:$Z$1,0)),INDEX(Aggregate!$A:$Z,,MATCH($C$2,Aggregate!$A$1:$Z$1,0)),"&lt;&gt;0"))/10^6</f>
        <v>#N/A</v>
      </c>
    </row>
    <row r="9" spans="2:7" x14ac:dyDescent="0.2">
      <c r="B9" s="28" t="str">
        <f>C2</f>
        <v>2022Q2</v>
      </c>
      <c r="C9" s="29" t="e">
        <f>IF(G8&gt;0,C8+E8,C8)</f>
        <v>#N/A</v>
      </c>
      <c r="D9" s="29"/>
      <c r="E9" s="29"/>
    </row>
    <row r="11" spans="2:7" x14ac:dyDescent="0.2">
      <c r="C11" s="30" t="e">
        <f>C5-D6+E7+E8-SUMIFS('Vendor Master Enrich'!$D:$D,'Vendor Master Enrich'!$B:$B,$C$2)/10^6</f>
        <v>#N/A</v>
      </c>
    </row>
    <row r="17" spans="2:3" x14ac:dyDescent="0.2">
      <c r="B17" s="54" t="s">
        <v>113</v>
      </c>
      <c r="C17" s="54" t="s">
        <v>114</v>
      </c>
    </row>
    <row r="18" spans="2:3" ht="272" customHeight="1" x14ac:dyDescent="0.2">
      <c r="B18" s="53" t="s">
        <v>115</v>
      </c>
      <c r="C18" s="59" t="s">
        <v>116</v>
      </c>
    </row>
    <row r="19" spans="2:3" ht="289" customHeight="1" x14ac:dyDescent="0.2">
      <c r="B19" s="53" t="s">
        <v>117</v>
      </c>
      <c r="C19" s="59" t="s">
        <v>118</v>
      </c>
    </row>
    <row r="20" spans="2:3" ht="238" customHeight="1" x14ac:dyDescent="0.2">
      <c r="B20" s="53" t="s">
        <v>119</v>
      </c>
      <c r="C20" s="59" t="s">
        <v>120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showGridLines="0" workbookViewId="0">
      <selection activeCell="Q9" sqref="Q9"/>
    </sheetView>
  </sheetViews>
  <sheetFormatPr baseColWidth="10" defaultRowHeight="16"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F16"/>
  <sheetViews>
    <sheetView showGridLines="0" workbookViewId="0">
      <selection activeCell="B10" sqref="B10"/>
    </sheetView>
  </sheetViews>
  <sheetFormatPr baseColWidth="10" defaultRowHeight="16" x14ac:dyDescent="0.2"/>
  <cols>
    <col min="2" max="3" width="12.5" bestFit="1" customWidth="1"/>
    <col min="4" max="4" width="15.6640625" bestFit="1" customWidth="1"/>
    <col min="5" max="5" width="12.5" bestFit="1" customWidth="1"/>
    <col min="6" max="6" width="18.6640625" customWidth="1"/>
    <col min="7" max="7" width="13.1640625" bestFit="1" customWidth="1"/>
    <col min="8" max="8" width="13.5" bestFit="1" customWidth="1"/>
  </cols>
  <sheetData>
    <row r="1" spans="2:6" ht="19" customHeight="1" x14ac:dyDescent="0.25">
      <c r="B1" s="24" t="s">
        <v>121</v>
      </c>
      <c r="C1" s="24" t="s">
        <v>104</v>
      </c>
      <c r="D1" s="24" t="s">
        <v>105</v>
      </c>
      <c r="F1" s="56" t="s">
        <v>122</v>
      </c>
    </row>
    <row r="2" spans="2:6" x14ac:dyDescent="0.2">
      <c r="B2" s="28">
        <f>'Sum of Moving Average'!A3</f>
        <v>0</v>
      </c>
      <c r="C2" s="29">
        <f>'Sum of Moving Average'!B3/10^6</f>
        <v>0</v>
      </c>
      <c r="D2" s="29">
        <f>'Sum of Moving Average'!C3/10^6</f>
        <v>0</v>
      </c>
    </row>
    <row r="3" spans="2:6" x14ac:dyDescent="0.2">
      <c r="B3" s="28">
        <f>'Sum of Moving Average'!A4</f>
        <v>0</v>
      </c>
      <c r="C3" s="29">
        <f>'Sum of Moving Average'!B4/10^6</f>
        <v>0</v>
      </c>
      <c r="D3" s="29">
        <f>'Sum of Moving Average'!C4/10^6</f>
        <v>0</v>
      </c>
    </row>
    <row r="4" spans="2:6" x14ac:dyDescent="0.2">
      <c r="B4" s="28">
        <f>'Sum of Moving Average'!A5</f>
        <v>0</v>
      </c>
      <c r="C4" s="29">
        <f>'Sum of Moving Average'!B5/10^6</f>
        <v>0</v>
      </c>
      <c r="D4" s="29">
        <f>'Sum of Moving Average'!C5/10^6</f>
        <v>0</v>
      </c>
    </row>
    <row r="5" spans="2:6" x14ac:dyDescent="0.2">
      <c r="B5" s="28">
        <f>'Sum of Moving Average'!A6</f>
        <v>0</v>
      </c>
      <c r="C5" s="29">
        <f>'Sum of Moving Average'!B6/10^6</f>
        <v>0</v>
      </c>
      <c r="D5" s="29">
        <f>'Sum of Moving Average'!C6/10^6</f>
        <v>0</v>
      </c>
    </row>
    <row r="6" spans="2:6" x14ac:dyDescent="0.2">
      <c r="B6" s="28">
        <f>'Sum of Moving Average'!A7</f>
        <v>0</v>
      </c>
      <c r="C6" s="29">
        <f>'Sum of Moving Average'!B7/10^6</f>
        <v>0</v>
      </c>
      <c r="D6" s="29">
        <f>'Sum of Moving Average'!C7/10^6</f>
        <v>0</v>
      </c>
    </row>
    <row r="7" spans="2:6" x14ac:dyDescent="0.2">
      <c r="B7" s="28">
        <f>'Sum of Moving Average'!A8</f>
        <v>0</v>
      </c>
      <c r="C7" s="29">
        <f>'Sum of Moving Average'!B8/10^6</f>
        <v>0</v>
      </c>
      <c r="D7" s="29">
        <f>'Sum of Moving Average'!C8/10^6</f>
        <v>0</v>
      </c>
    </row>
    <row r="8" spans="2:6" x14ac:dyDescent="0.2">
      <c r="B8" s="28">
        <f>'Sum of Moving Average'!A9</f>
        <v>0</v>
      </c>
      <c r="C8" s="29">
        <f>'Sum of Moving Average'!B9/10^6</f>
        <v>0</v>
      </c>
      <c r="D8" s="29">
        <f>'Sum of Moving Average'!C9/10^6</f>
        <v>0</v>
      </c>
    </row>
    <row r="9" spans="2:6" x14ac:dyDescent="0.2">
      <c r="B9" s="28">
        <f>'Sum of Moving Average'!A10</f>
        <v>0</v>
      </c>
      <c r="C9" s="29">
        <f>'Sum of Moving Average'!B10/10^6</f>
        <v>0</v>
      </c>
      <c r="D9" s="29">
        <f>'Sum of Moving Average'!C10/10^6</f>
        <v>0</v>
      </c>
    </row>
    <row r="10" spans="2:6" x14ac:dyDescent="0.2">
      <c r="B10" s="28">
        <f>'Sum of Moving Average'!A11</f>
        <v>0</v>
      </c>
      <c r="C10" s="29">
        <f>'Sum of Moving Average'!B11/10^6</f>
        <v>0</v>
      </c>
      <c r="D10" s="29">
        <f>'Sum of Moving Average'!C11/10^6</f>
        <v>0</v>
      </c>
    </row>
    <row r="11" spans="2:6" x14ac:dyDescent="0.2">
      <c r="B11" s="28">
        <f>'Sum of Moving Average'!A12</f>
        <v>0</v>
      </c>
      <c r="C11" s="29">
        <f>'Sum of Moving Average'!B12/10^6</f>
        <v>0</v>
      </c>
      <c r="D11" s="29">
        <f>'Sum of Moving Average'!C12/10^6</f>
        <v>0</v>
      </c>
    </row>
    <row r="12" spans="2:6" x14ac:dyDescent="0.2">
      <c r="B12" s="28">
        <f>'Sum of Moving Average'!A13</f>
        <v>0</v>
      </c>
      <c r="C12" s="29">
        <f>'Sum of Moving Average'!B13/10^6</f>
        <v>0</v>
      </c>
      <c r="D12" s="29">
        <f>'Sum of Moving Average'!C13/10^6</f>
        <v>0</v>
      </c>
    </row>
    <row r="13" spans="2:6" x14ac:dyDescent="0.2">
      <c r="B13" s="28">
        <f>'Sum of Moving Average'!A14</f>
        <v>0</v>
      </c>
      <c r="C13" s="29">
        <f>'Sum of Moving Average'!B14/10^6</f>
        <v>0</v>
      </c>
      <c r="D13" s="29">
        <f>'Sum of Moving Average'!C14/10^6</f>
        <v>0</v>
      </c>
    </row>
    <row r="14" spans="2:6" x14ac:dyDescent="0.2">
      <c r="B14" s="28">
        <f>'Sum of Moving Average'!A15</f>
        <v>0</v>
      </c>
      <c r="C14" s="29">
        <f>'Sum of Moving Average'!B15/10^6</f>
        <v>0</v>
      </c>
      <c r="D14" s="29">
        <f>'Sum of Moving Average'!C15/10^6</f>
        <v>0</v>
      </c>
    </row>
    <row r="15" spans="2:6" x14ac:dyDescent="0.2">
      <c r="B15" s="28">
        <f>'Sum of Moving Average'!A16</f>
        <v>0</v>
      </c>
      <c r="C15" s="29">
        <f>'Sum of Moving Average'!B16/10^6</f>
        <v>0</v>
      </c>
      <c r="D15" s="29">
        <f>'Sum of Moving Average'!C16/10^6</f>
        <v>0</v>
      </c>
    </row>
    <row r="16" spans="2:6" x14ac:dyDescent="0.2">
      <c r="B16" s="28">
        <f>'Sum of Moving Average'!A17</f>
        <v>0</v>
      </c>
      <c r="C16" s="29">
        <f>'Sum of Moving Average'!B17/10^6</f>
        <v>0</v>
      </c>
      <c r="D16" s="29">
        <f>'Sum of Moving Average'!C17/10^6</f>
        <v>0</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BA39F-AADF-1B4E-9248-22393AB93791}">
  <dimension ref="A1"/>
  <sheetViews>
    <sheetView workbookViewId="0">
      <selection activeCell="M14" sqref="M14"/>
    </sheetView>
  </sheetViews>
  <sheetFormatPr baseColWidth="10" defaultRowHeight="16" x14ac:dyDescent="0.2"/>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9F284-42D3-9747-A2FA-517A5D51E8F3}">
  <dimension ref="A2:L50"/>
  <sheetViews>
    <sheetView topLeftCell="A6" workbookViewId="0">
      <selection activeCell="L33" sqref="L33"/>
    </sheetView>
  </sheetViews>
  <sheetFormatPr baseColWidth="10" defaultRowHeight="16" x14ac:dyDescent="0.2"/>
  <cols>
    <col min="1" max="1" width="7.6640625" bestFit="1" customWidth="1"/>
    <col min="2" max="2" width="46.1640625" customWidth="1"/>
    <col min="3" max="5" width="15" customWidth="1"/>
    <col min="6" max="6" width="6" customWidth="1"/>
    <col min="7" max="7" width="33.1640625" customWidth="1"/>
    <col min="8" max="10" width="9.5" customWidth="1"/>
  </cols>
  <sheetData>
    <row r="2" spans="2:6" ht="21" customHeight="1" x14ac:dyDescent="0.25">
      <c r="B2" s="138" t="s">
        <v>124</v>
      </c>
      <c r="C2" s="139"/>
      <c r="D2" s="139"/>
      <c r="E2" s="140"/>
    </row>
    <row r="3" spans="2:6" x14ac:dyDescent="0.2">
      <c r="B3" s="11" t="s">
        <v>1</v>
      </c>
      <c r="C3" s="24"/>
      <c r="E3" s="12" t="s">
        <v>2</v>
      </c>
      <c r="F3" s="1"/>
    </row>
    <row r="4" spans="2:6" x14ac:dyDescent="0.2">
      <c r="B4" s="11" t="s">
        <v>3</v>
      </c>
      <c r="C4" s="24"/>
      <c r="D4" s="1"/>
      <c r="E4" s="63"/>
    </row>
    <row r="5" spans="2:6" x14ac:dyDescent="0.2">
      <c r="B5" s="22" t="s">
        <v>7</v>
      </c>
      <c r="C5" s="64"/>
      <c r="D5" s="65"/>
      <c r="E5" s="66">
        <v>44732</v>
      </c>
      <c r="F5" s="67"/>
    </row>
    <row r="7" spans="2:6" ht="21" customHeight="1" x14ac:dyDescent="0.25">
      <c r="B7" s="138" t="s">
        <v>125</v>
      </c>
      <c r="C7" s="139"/>
      <c r="D7" s="139"/>
      <c r="E7" s="140"/>
    </row>
    <row r="8" spans="2:6" x14ac:dyDescent="0.2">
      <c r="B8" s="11" t="s">
        <v>126</v>
      </c>
      <c r="C8" s="24"/>
      <c r="D8" s="68">
        <f>COUNTIFS('Vendor Master Enrich'!B:B,"&lt;&gt;"&amp;"")-1</f>
        <v>-1</v>
      </c>
      <c r="E8" s="69"/>
    </row>
    <row r="9" spans="2:6" x14ac:dyDescent="0.2">
      <c r="B9" s="11" t="s">
        <v>127</v>
      </c>
      <c r="C9" s="24"/>
      <c r="D9" s="68">
        <f>COUNTIFS('Vendor Master Enrich'!D:D,"&lt;&gt;"&amp;"")-1</f>
        <v>-1</v>
      </c>
      <c r="E9" s="70">
        <f>D9/D8</f>
        <v>1</v>
      </c>
    </row>
    <row r="10" spans="2:6" x14ac:dyDescent="0.2">
      <c r="B10" s="11" t="s">
        <v>128</v>
      </c>
      <c r="C10" s="24"/>
      <c r="D10" s="68" t="e" cm="1">
        <f t="array" ref="D10">COUNTIFS(INDEX('Vendor Master Enrich'!$A:$ZZ,,MATCH("Found",'Vendor Master Enrich'!$A$1:$ZZ$1,0)),{"Found"})</f>
        <v>#N/A</v>
      </c>
      <c r="E10" s="70" t="e">
        <f>D10/D8</f>
        <v>#N/A</v>
      </c>
    </row>
    <row r="11" spans="2:6" x14ac:dyDescent="0.2">
      <c r="B11" s="11" t="s">
        <v>129</v>
      </c>
      <c r="C11" s="24"/>
      <c r="D11" s="68" t="e" cm="1">
        <f t="array" ref="D11">SUM(COUNTIFS(INDEX('Vendor Master Enrich'!$A:$ZZ,,MATCH("Qualified",'Vendor Master Enrich'!$A$1:$ZZ$1,0)),{"Yes","No"}))</f>
        <v>#N/A</v>
      </c>
      <c r="E11" s="70" t="e">
        <f>D11/D10</f>
        <v>#N/A</v>
      </c>
      <c r="F11" s="23" t="s">
        <v>130</v>
      </c>
    </row>
    <row r="12" spans="2:6" x14ac:dyDescent="0.2">
      <c r="B12" s="71" t="s">
        <v>131</v>
      </c>
      <c r="C12" s="23"/>
      <c r="D12" s="72" t="e" cm="1">
        <f t="array" ref="D12">SUM(COUNTIFS(INDEX('Vendor Master Enrich'!$A:$ZZ,,MATCH("Qualified",'Vendor Master Enrich'!$A$1:$ZZ$1,0)),{"Yes"}))</f>
        <v>#N/A</v>
      </c>
      <c r="E12" s="73" t="e">
        <f>D12/D10</f>
        <v>#N/A</v>
      </c>
    </row>
    <row r="13" spans="2:6" x14ac:dyDescent="0.2">
      <c r="B13" s="71" t="s">
        <v>132</v>
      </c>
      <c r="C13" s="23"/>
      <c r="D13" s="72" t="e" cm="1">
        <f t="array" ref="D13">SUM(COUNTIFS(INDEX('Vendor Master Enrich'!$A:$ZZ,,MATCH("Qualified",'Vendor Master Enrich'!$A$1:$ZZ$1,0)),{"No"}))</f>
        <v>#N/A</v>
      </c>
      <c r="E13" s="73" t="e">
        <f>D13/D10</f>
        <v>#N/A</v>
      </c>
    </row>
    <row r="14" spans="2:6" ht="6" customHeight="1" x14ac:dyDescent="0.2">
      <c r="B14" s="74"/>
      <c r="C14" s="75"/>
      <c r="D14" s="76"/>
      <c r="E14" s="77"/>
    </row>
    <row r="15" spans="2:6" x14ac:dyDescent="0.2">
      <c r="B15" s="11" t="s">
        <v>133</v>
      </c>
      <c r="C15" s="24"/>
      <c r="D15" s="68" t="e" cm="1">
        <f t="array" ref="D15">SUM(COUNTIFS(INDEX('[1]Certificate List'!$A:$ZX,,MATCH("TB Qualified",'[1]Certificate List'!$A$2:$ZX$2,0)),{"Yes","Potential"}))</f>
        <v>#VALUE!</v>
      </c>
      <c r="E15" s="70"/>
    </row>
    <row r="16" spans="2:6" x14ac:dyDescent="0.2">
      <c r="B16" s="22" t="s">
        <v>134</v>
      </c>
      <c r="C16" s="64"/>
      <c r="D16" s="78" t="e" cm="1">
        <f t="array" ref="D16">SUM(COUNTIFS(INDEX('[1]Certificate List'!$A:$ZX,,MATCH("Cust Qualified",'[1]Certificate List'!$A$2:$ZX$2,0)),{"Yes"}))</f>
        <v>#N/A</v>
      </c>
      <c r="E16" s="79" t="e">
        <f>D16/D15</f>
        <v>#N/A</v>
      </c>
    </row>
    <row r="18" spans="1:12" ht="21" customHeight="1" x14ac:dyDescent="0.25">
      <c r="B18" s="131" t="s">
        <v>135</v>
      </c>
      <c r="C18" s="132"/>
      <c r="D18" s="132"/>
      <c r="E18" s="133"/>
      <c r="G18" s="131" t="s">
        <v>136</v>
      </c>
      <c r="H18" s="132"/>
      <c r="I18" s="132"/>
      <c r="J18" s="133"/>
    </row>
    <row r="19" spans="1:12" x14ac:dyDescent="0.2">
      <c r="B19" s="80" t="s">
        <v>137</v>
      </c>
      <c r="C19" s="81" t="s">
        <v>106</v>
      </c>
      <c r="D19" s="82" t="s">
        <v>101</v>
      </c>
      <c r="E19" s="83" t="s">
        <v>138</v>
      </c>
      <c r="G19" s="84"/>
      <c r="H19" s="85" t="s">
        <v>139</v>
      </c>
      <c r="I19" s="86" t="s">
        <v>140</v>
      </c>
      <c r="J19" s="87" t="s">
        <v>141</v>
      </c>
      <c r="L19" s="88" t="s">
        <v>60</v>
      </c>
    </row>
    <row r="20" spans="1:12" x14ac:dyDescent="0.2">
      <c r="A20" s="89" t="s">
        <v>33</v>
      </c>
      <c r="B20" s="11" t="s">
        <v>142</v>
      </c>
      <c r="C20" s="90">
        <f>SUM(COUNTIFS(INDEX('Certificate List'!$A:$ZX,,MATCH("Certification",'Certificate List'!$A$2:$ZX$2,0)),$A20,INDEX('Certificate List'!$A:$ZX,,MATCH("TB Qualified",'Certificate List'!$A$2:$ZX$2,0)),"Yes"))</f>
        <v>0</v>
      </c>
      <c r="D20" s="90">
        <f>SUM(COUNTIFS(INDEX('Certificate List'!$A:$ZX,,MATCH("Certification",'Certificate List'!$A$2:$ZX$2,0)),$A20,INDEX('Certificate List'!$A:$ZX,,MATCH("TB Qualified",'Certificate List'!$A$2:$ZX$2,0)),"Potential"))</f>
        <v>0</v>
      </c>
      <c r="E20" s="91">
        <f t="shared" ref="E20:E34" si="0">SUM(C20:D20)</f>
        <v>0</v>
      </c>
      <c r="G20" s="92" t="s">
        <v>143</v>
      </c>
      <c r="H20" s="93" t="e" cm="1">
        <f t="array" ref="H20">SUM(COUNTIFS(INDEX('Vendor Master Enrich'!$A:$ZZ,,MATCH("Qualified",'Vendor Master Enrich'!$A$1:$ZZ$1,0)),{"Yes","No"},INDEX('Vendor Master Enrich'!$A:$ZZ,,MATCH("Cust Diverse",'Vendor Master Enrich'!$A$1:$ZZ$1,0)),{""}))</f>
        <v>#N/A</v>
      </c>
      <c r="I20" s="94" t="e" cm="1">
        <f t="array" ref="I20">SUM(COUNTIFS(INDEX('Vendor Master Enrich'!$A:$ZZ,,MATCH("Qualified",'Vendor Master Enrich'!$A$1:$ZZ$1,0)),{"Yes","No"},INDEX('Vendor Master Enrich'!$A:$ZZ,,MATCH("Cust Diverse",'Vendor Master Enrich'!$A$1:$ZZ$1,0)),{"xx"}))</f>
        <v>#N/A</v>
      </c>
      <c r="J20" s="95" t="e" cm="1">
        <f t="array" ref="J20">SUM(COUNTIFS(INDEX('Vendor Master Enrich'!$A:$ZZ,,MATCH("Qualified",'Vendor Master Enrich'!$A$1:$ZZ$1,0)),{""},INDEX('Vendor Master Enrich'!$A:$ZZ,,MATCH("Cust Diverse",'Vendor Master Enrich'!$A$1:$ZZ$1,0)),{"xx"}))</f>
        <v>#N/A</v>
      </c>
      <c r="L20" s="96" t="e" cm="1">
        <f t="array" ref="L20">COUNTIFS('Vendor Master Enrich'!D:D,{"xx"})-I20-J20</f>
        <v>#N/A</v>
      </c>
    </row>
    <row r="21" spans="1:12" x14ac:dyDescent="0.2">
      <c r="A21" s="89" t="s">
        <v>29</v>
      </c>
      <c r="B21" s="11" t="s">
        <v>144</v>
      </c>
      <c r="C21" s="90">
        <f>SUM(COUNTIFS(INDEX('Certificate List'!$A:$ZX,,MATCH("Certification",'Certificate List'!$A$2:$ZX$2,0)),$A21,INDEX('Certificate List'!$A:$ZX,,MATCH("TB Qualified",'Certificate List'!$A$2:$ZX$2,0)),"Yes"))</f>
        <v>0</v>
      </c>
      <c r="D21" s="90">
        <f>SUM(COUNTIFS(INDEX('Certificate List'!$A:$ZX,,MATCH("Certification",'Certificate List'!$A$2:$ZX$2,0)),$A21,INDEX('Certificate List'!$A:$ZX,,MATCH("TB Qualified",'Certificate List'!$A$2:$ZX$2,0)),"Potential"))</f>
        <v>0</v>
      </c>
      <c r="E21" s="97">
        <f t="shared" si="0"/>
        <v>0</v>
      </c>
      <c r="G21" s="98" t="s">
        <v>64</v>
      </c>
      <c r="H21" s="99" cm="1">
        <f t="array" ref="H21">IFERROR(SUM(COUNTIFS(INDEX('Vendor Master Enrich'!$A:$ZZ,,MATCH("TB "&amp;$G21,'Vendor Master Enrich'!$A$1:$ZZ$1,0)),{"Y"},INDEX('Vendor Master Enrich'!$A:$ZZ,,MATCH($G21,'Vendor Master Enrich'!$A$1:$ZZ$1,0)),{""})),0)</f>
        <v>0</v>
      </c>
      <c r="I21" s="100" cm="1">
        <f t="array" ref="I21">IFERROR(SUM(COUNTIFS(INDEX('Vendor Master Enrich'!$A:$ZZ,,MATCH("TB "&amp;$G21,'Vendor Master Enrich'!$A$1:$ZZ$1,0)),{"Y"},INDEX('Vendor Master Enrich'!$A:$ZZ,,MATCH($G21,'Vendor Master Enrich'!$A$1:$ZZ$1,0)),{"Y"})),0)</f>
        <v>0</v>
      </c>
      <c r="J21" s="101" cm="1">
        <f t="array" ref="J21">IFERROR(SUM(COUNTIFS(INDEX('Vendor Master Enrich'!$A:$ZZ,,MATCH("TB "&amp;$G21,'Vendor Master Enrich'!$A$1:$ZZ$1,0)),{""},INDEX('Vendor Master Enrich'!$A:$ZZ,,MATCH($G21,'Vendor Master Enrich'!$A$1:$ZZ$1,0)),{"Y"})),0)</f>
        <v>0</v>
      </c>
      <c r="L21" s="96" cm="1">
        <f t="array" ref="L21">COUNTIFS('Vendor Master Enrich'!E:E,{"Y"})-I21-J21</f>
        <v>0</v>
      </c>
    </row>
    <row r="22" spans="1:12" x14ac:dyDescent="0.2">
      <c r="A22" s="89" t="s">
        <v>37</v>
      </c>
      <c r="B22" s="11" t="s">
        <v>145</v>
      </c>
      <c r="C22" s="90">
        <f>SUM(COUNTIFS(INDEX('Certificate List'!$A:$ZX,,MATCH("Certification",'Certificate List'!$A$2:$ZX$2,0)),$A22,INDEX('Certificate List'!$A:$ZX,,MATCH("TB Qualified",'Certificate List'!$A$2:$ZX$2,0)),"Yes"))</f>
        <v>0</v>
      </c>
      <c r="D22" s="90">
        <f>SUM(COUNTIFS(INDEX('Certificate List'!$A:$ZX,,MATCH("Certification",'Certificate List'!$A$2:$ZX$2,0)),$A22,INDEX('Certificate List'!$A:$ZX,,MATCH("TB Qualified",'Certificate List'!$A$2:$ZX$2,0)),"Potential"))</f>
        <v>0</v>
      </c>
      <c r="E22" s="97">
        <f t="shared" si="0"/>
        <v>0</v>
      </c>
      <c r="G22" s="11" t="s">
        <v>66</v>
      </c>
      <c r="H22" s="99" cm="1">
        <f t="array" ref="H22">IFERROR(SUM(COUNTIFS(INDEX('Vendor Master Enrich'!$A:$ZZ,,MATCH("TB "&amp;$G22,'Vendor Master Enrich'!$A$1:$ZZ$1,0)),{"Y"},INDEX('Vendor Master Enrich'!$A:$ZZ,,MATCH($G22,'Vendor Master Enrich'!$A$1:$ZZ$1,0)),{""})),0)</f>
        <v>0</v>
      </c>
      <c r="I22" s="100" cm="1">
        <f t="array" ref="I22">IFERROR(SUM(COUNTIFS(INDEX('Vendor Master Enrich'!$A:$ZZ,,MATCH("TB "&amp;$G22,'Vendor Master Enrich'!$A$1:$ZZ$1,0)),{"Y"},INDEX('Vendor Master Enrich'!$A:$ZZ,,MATCH($G22,'Vendor Master Enrich'!$A$1:$ZZ$1,0)),{"Y"})),0)</f>
        <v>0</v>
      </c>
      <c r="J22" s="101" cm="1">
        <f t="array" ref="J22">IFERROR(SUM(COUNTIFS(INDEX('Vendor Master Enrich'!$A:$ZZ,,MATCH("TB "&amp;$G22,'Vendor Master Enrich'!$A$1:$ZZ$1,0)),{""},INDEX('Vendor Master Enrich'!$A:$ZZ,,MATCH($G22,'Vendor Master Enrich'!$A$1:$ZZ$1,0)),{"Y"})),0)</f>
        <v>0</v>
      </c>
      <c r="L22" s="96" cm="1">
        <f t="array" ref="L22">COUNTIFS('Vendor Master Enrich'!F:F,{"Y"})-I22-J22</f>
        <v>0</v>
      </c>
    </row>
    <row r="23" spans="1:12" x14ac:dyDescent="0.2">
      <c r="A23" s="89" t="s">
        <v>54</v>
      </c>
      <c r="B23" s="11" t="s">
        <v>146</v>
      </c>
      <c r="C23" s="90">
        <f>SUM(COUNTIFS(INDEX('Certificate List'!$A:$ZX,,MATCH("Certification",'Certificate List'!$A$2:$ZX$2,0)),$A23,INDEX('Certificate List'!$A:$ZX,,MATCH("TB Qualified",'Certificate List'!$A$2:$ZX$2,0)),"Yes"))</f>
        <v>0</v>
      </c>
      <c r="D23" s="90">
        <f>SUM(COUNTIFS(INDEX('Certificate List'!$A:$ZX,,MATCH("Certification",'Certificate List'!$A$2:$ZX$2,0)),$A23,INDEX('Certificate List'!$A:$ZX,,MATCH("TB Qualified",'Certificate List'!$A$2:$ZX$2,0)),"Potential"))</f>
        <v>0</v>
      </c>
      <c r="E23" s="97">
        <f t="shared" si="0"/>
        <v>0</v>
      </c>
      <c r="G23" s="11" t="s">
        <v>68</v>
      </c>
      <c r="H23" s="99" cm="1">
        <f t="array" ref="H23">IFERROR(SUM(COUNTIFS(INDEX('Vendor Master Enrich'!$A:$ZZ,,MATCH("TB "&amp;$G23,'Vendor Master Enrich'!$A$1:$ZZ$1,0)),{"Y"},INDEX('Vendor Master Enrich'!$A:$ZZ,,MATCH($G23,'Vendor Master Enrich'!$A$1:$ZZ$1,0)),{""})),0)</f>
        <v>0</v>
      </c>
      <c r="I23" s="100" cm="1">
        <f t="array" ref="I23">IFERROR(SUM(COUNTIFS(INDEX('Vendor Master Enrich'!$A:$ZZ,,MATCH("TB "&amp;$G23,'Vendor Master Enrich'!$A$1:$ZZ$1,0)),{"Y"},INDEX('Vendor Master Enrich'!$A:$ZZ,,MATCH($G23,'Vendor Master Enrich'!$A$1:$ZZ$1,0)),{"Y"})),0)</f>
        <v>0</v>
      </c>
      <c r="J23" s="101" cm="1">
        <f t="array" ref="J23">IFERROR(SUM(COUNTIFS(INDEX('Vendor Master Enrich'!$A:$ZZ,,MATCH("TB "&amp;$G23,'Vendor Master Enrich'!$A$1:$ZZ$1,0)),{""},INDEX('Vendor Master Enrich'!$A:$ZZ,,MATCH($G23,'Vendor Master Enrich'!$A$1:$ZZ$1,0)),{"Y"})),0)</f>
        <v>0</v>
      </c>
      <c r="L23" s="96" cm="1">
        <f t="array" ref="L23">COUNTIFS('Vendor Master Enrich'!G:G,{"Y"})-I23-J23</f>
        <v>0</v>
      </c>
    </row>
    <row r="24" spans="1:12" x14ac:dyDescent="0.2">
      <c r="A24" s="89" t="s">
        <v>39</v>
      </c>
      <c r="B24" s="11" t="s">
        <v>147</v>
      </c>
      <c r="C24" s="90">
        <f>SUM(COUNTIFS(INDEX('Certificate List'!$A:$ZX,,MATCH("Certification",'Certificate List'!$A$2:$ZX$2,0)),$A24,INDEX('Certificate List'!$A:$ZX,,MATCH("TB Qualified",'Certificate List'!$A$2:$ZX$2,0)),"Yes"))</f>
        <v>0</v>
      </c>
      <c r="D24" s="90">
        <f>SUM(COUNTIFS(INDEX('Certificate List'!$A:$ZX,,MATCH("Certification",'Certificate List'!$A$2:$ZX$2,0)),$A24,INDEX('Certificate List'!$A:$ZX,,MATCH("TB Qualified",'Certificate List'!$A$2:$ZX$2,0)),"Potential"))</f>
        <v>0</v>
      </c>
      <c r="E24" s="97">
        <f t="shared" si="0"/>
        <v>0</v>
      </c>
      <c r="G24" s="11" t="s">
        <v>70</v>
      </c>
      <c r="H24" s="99" cm="1">
        <f t="array" ref="H24">IFERROR(SUM(COUNTIFS(INDEX('Vendor Master Enrich'!$A:$ZZ,,MATCH("TB "&amp;$G24,'Vendor Master Enrich'!$A$1:$ZZ$1,0)),{"Y"},INDEX('Vendor Master Enrich'!$A:$ZZ,,MATCH($G24,'Vendor Master Enrich'!$A$1:$ZZ$1,0)),{""})),0)</f>
        <v>0</v>
      </c>
      <c r="I24" s="100" cm="1">
        <f t="array" ref="I24">IFERROR(SUM(COUNTIFS(INDEX('Vendor Master Enrich'!$A:$ZZ,,MATCH("TB "&amp;$G24,'Vendor Master Enrich'!$A$1:$ZZ$1,0)),{"Y"},INDEX('Vendor Master Enrich'!$A:$ZZ,,MATCH($G24,'Vendor Master Enrich'!$A$1:$ZZ$1,0)),{"Y"})),0)</f>
        <v>0</v>
      </c>
      <c r="J24" s="101" cm="1">
        <f t="array" ref="J24">IFERROR(SUM(COUNTIFS(INDEX('Vendor Master Enrich'!$A:$ZZ,,MATCH("TB "&amp;$G24,'Vendor Master Enrich'!$A$1:$ZZ$1,0)),{""},INDEX('Vendor Master Enrich'!$A:$ZZ,,MATCH($G24,'Vendor Master Enrich'!$A$1:$ZZ$1,0)),{"Y"})),0)</f>
        <v>0</v>
      </c>
      <c r="L24" s="96" cm="1">
        <f t="array" ref="L24">COUNTIFS('Vendor Master Enrich'!H:H,{"Y"})-I24-J24</f>
        <v>0</v>
      </c>
    </row>
    <row r="25" spans="1:12" x14ac:dyDescent="0.2">
      <c r="A25" s="89" t="s">
        <v>45</v>
      </c>
      <c r="B25" s="11" t="s">
        <v>148</v>
      </c>
      <c r="C25" s="90">
        <f>SUM(COUNTIFS(INDEX('Certificate List'!$A:$ZX,,MATCH("Certification",'Certificate List'!$A$2:$ZX$2,0)),$A25,INDEX('Certificate List'!$A:$ZX,,MATCH("TB Qualified",'Certificate List'!$A$2:$ZX$2,0)),"Yes"))</f>
        <v>0</v>
      </c>
      <c r="D25" s="90">
        <f>SUM(COUNTIFS(INDEX('Certificate List'!$A:$ZX,,MATCH("Certification",'Certificate List'!$A$2:$ZX$2,0)),$A25,INDEX('Certificate List'!$A:$ZX,,MATCH("TB Qualified",'Certificate List'!$A$2:$ZX$2,0)),"Potential"))</f>
        <v>0</v>
      </c>
      <c r="E25" s="97">
        <f t="shared" si="0"/>
        <v>0</v>
      </c>
      <c r="G25" s="11" t="s">
        <v>72</v>
      </c>
      <c r="H25" s="99" cm="1">
        <f t="array" ref="H25">IFERROR(SUM(COUNTIFS(INDEX('Vendor Master Enrich'!$A:$ZZ,,MATCH("TB "&amp;$G25,'Vendor Master Enrich'!$A$1:$ZZ$1,0)),{"Y"},INDEX('Vendor Master Enrich'!$A:$ZZ,,MATCH($G25,'Vendor Master Enrich'!$A$1:$ZZ$1,0)),{""})),0)</f>
        <v>0</v>
      </c>
      <c r="I25" s="100" cm="1">
        <f t="array" ref="I25">IFERROR(SUM(COUNTIFS(INDEX('Vendor Master Enrich'!$A:$ZZ,,MATCH("TB "&amp;$G25,'Vendor Master Enrich'!$A$1:$ZZ$1,0)),{"Y"},INDEX('Vendor Master Enrich'!$A:$ZZ,,MATCH($G25,'Vendor Master Enrich'!$A$1:$ZZ$1,0)),{"Y"})),0)</f>
        <v>0</v>
      </c>
      <c r="J25" s="101" cm="1">
        <f t="array" ref="J25">IFERROR(SUM(COUNTIFS(INDEX('Vendor Master Enrich'!$A:$ZZ,,MATCH("TB "&amp;$G25,'Vendor Master Enrich'!$A$1:$ZZ$1,0)),{""},INDEX('Vendor Master Enrich'!$A:$ZZ,,MATCH($G25,'Vendor Master Enrich'!$A$1:$ZZ$1,0)),{"Y"})),0)</f>
        <v>0</v>
      </c>
      <c r="L25" s="96" cm="1">
        <f t="array" ref="L25">COUNTIFS('Vendor Master Enrich'!I:I,{"Y"})-I25-J25</f>
        <v>0</v>
      </c>
    </row>
    <row r="26" spans="1:12" x14ac:dyDescent="0.2">
      <c r="A26" s="89" t="s">
        <v>27</v>
      </c>
      <c r="B26" s="11" t="s">
        <v>149</v>
      </c>
      <c r="C26" s="90">
        <f>SUM(COUNTIFS(INDEX('Certificate List'!$A:$ZX,,MATCH("Certification",'Certificate List'!$A$2:$ZX$2,0)),$A26,INDEX('Certificate List'!$A:$ZX,,MATCH("TB Qualified",'Certificate List'!$A$2:$ZX$2,0)),"Yes"))</f>
        <v>0</v>
      </c>
      <c r="D26" s="90">
        <f>SUM(COUNTIFS(INDEX('Certificate List'!$A:$ZX,,MATCH("Certification",'Certificate List'!$A$2:$ZX$2,0)),$A26,INDEX('Certificate List'!$A:$ZX,,MATCH("TB Qualified",'Certificate List'!$A$2:$ZX$2,0)),"Potential"))</f>
        <v>0</v>
      </c>
      <c r="E26" s="97">
        <f t="shared" si="0"/>
        <v>0</v>
      </c>
      <c r="G26" s="11" t="s">
        <v>74</v>
      </c>
      <c r="H26" s="99" cm="1">
        <f t="array" ref="H26">IFERROR(SUM(COUNTIFS(INDEX('Vendor Master Enrich'!$A:$ZZ,,MATCH("TB "&amp;$G26,'Vendor Master Enrich'!$A$1:$ZZ$1,0)),{"Y"},INDEX('Vendor Master Enrich'!$A:$ZZ,,MATCH($G26,'Vendor Master Enrich'!$A$1:$ZZ$1,0)),{""})),0)</f>
        <v>0</v>
      </c>
      <c r="I26" s="100" cm="1">
        <f t="array" ref="I26">IFERROR(SUM(COUNTIFS(INDEX('Vendor Master Enrich'!$A:$ZZ,,MATCH("TB "&amp;$G26,'Vendor Master Enrich'!$A$1:$ZZ$1,0)),{"Y"},INDEX('Vendor Master Enrich'!$A:$ZZ,,MATCH($G26,'Vendor Master Enrich'!$A$1:$ZZ$1,0)),{"Y"})),0)</f>
        <v>0</v>
      </c>
      <c r="J26" s="101" cm="1">
        <f t="array" ref="J26">IFERROR(SUM(COUNTIFS(INDEX('Vendor Master Enrich'!$A:$ZZ,,MATCH("TB "&amp;$G26,'Vendor Master Enrich'!$A$1:$ZZ$1,0)),{""},INDEX('Vendor Master Enrich'!$A:$ZZ,,MATCH($G26,'Vendor Master Enrich'!$A$1:$ZZ$1,0)),{"Y"})),0)</f>
        <v>0</v>
      </c>
      <c r="L26" s="96" cm="1">
        <f t="array" ref="L26">COUNTIFS('Vendor Master Enrich'!J:J,{"Y"})-I26-J26</f>
        <v>0</v>
      </c>
    </row>
    <row r="27" spans="1:12" x14ac:dyDescent="0.2">
      <c r="A27" s="89" t="s">
        <v>43</v>
      </c>
      <c r="B27" s="11" t="s">
        <v>150</v>
      </c>
      <c r="C27" s="90">
        <f>SUM(COUNTIFS(INDEX('Certificate List'!$A:$ZX,,MATCH("Certification",'Certificate List'!$A$2:$ZX$2,0)),$A27,INDEX('Certificate List'!$A:$ZX,,MATCH("TB Qualified",'Certificate List'!$A$2:$ZX$2,0)),"Yes"))</f>
        <v>0</v>
      </c>
      <c r="D27" s="90">
        <f>SUM(COUNTIFS(INDEX('Certificate List'!$A:$ZX,,MATCH("Certification",'Certificate List'!$A$2:$ZX$2,0)),$A27,INDEX('Certificate List'!$A:$ZX,,MATCH("TB Qualified",'Certificate List'!$A$2:$ZX$2,0)),"Potential"))</f>
        <v>0</v>
      </c>
      <c r="E27" s="97">
        <f t="shared" si="0"/>
        <v>0</v>
      </c>
      <c r="G27" s="22" t="s">
        <v>76</v>
      </c>
      <c r="H27" s="99" cm="1">
        <f t="array" ref="H27">IFERROR(SUM(COUNTIFS(INDEX('Vendor Master Enrich'!$A:$ZZ,,MATCH("TB "&amp;$G27,'Vendor Master Enrich'!$A$1:$ZZ$1,0)),{"Y"},INDEX('Vendor Master Enrich'!$A:$ZZ,,MATCH($G27,'Vendor Master Enrich'!$A$1:$ZZ$1,0)),{""})),0)</f>
        <v>0</v>
      </c>
      <c r="I27" s="100" cm="1">
        <f t="array" ref="I27">IFERROR(SUM(COUNTIFS(INDEX('Vendor Master Enrich'!$A:$ZZ,,MATCH("TB "&amp;$G27,'Vendor Master Enrich'!$A$1:$ZZ$1,0)),{"Y"},INDEX('Vendor Master Enrich'!$A:$ZZ,,MATCH($G27,'Vendor Master Enrich'!$A$1:$ZZ$1,0)),{"Y"})),0)</f>
        <v>0</v>
      </c>
      <c r="J27" s="101" cm="1">
        <f t="array" ref="J27">IFERROR(SUM(COUNTIFS(INDEX('Vendor Master Enrich'!$A:$ZZ,,MATCH("TB "&amp;$G27,'Vendor Master Enrich'!$A$1:$ZZ$1,0)),{""},INDEX('Vendor Master Enrich'!$A:$ZZ,,MATCH($G27,'Vendor Master Enrich'!$A$1:$ZZ$1,0)),{"Y"})),0)</f>
        <v>0</v>
      </c>
      <c r="L27" s="102"/>
    </row>
    <row r="28" spans="1:12" x14ac:dyDescent="0.2">
      <c r="A28" s="89" t="s">
        <v>35</v>
      </c>
      <c r="B28" s="11" t="s">
        <v>151</v>
      </c>
      <c r="C28" s="90">
        <f>SUM(COUNTIFS(INDEX('Certificate List'!$A:$ZX,,MATCH("Certification",'Certificate List'!$A$2:$ZX$2,0)),$A28,INDEX('Certificate List'!$A:$ZX,,MATCH("TB Qualified",'Certificate List'!$A$2:$ZX$2,0)),"Yes"))</f>
        <v>0</v>
      </c>
      <c r="D28" s="90">
        <f>SUM(COUNTIFS(INDEX('Certificate List'!$A:$ZX,,MATCH("Certification",'Certificate List'!$A$2:$ZX$2,0)),$A28,INDEX('Certificate List'!$A:$ZX,,MATCH("TB Qualified",'Certificate List'!$A$2:$ZX$2,0)),"Potential"))</f>
        <v>0</v>
      </c>
      <c r="E28" s="97">
        <f t="shared" si="0"/>
        <v>0</v>
      </c>
      <c r="G28" s="25" t="s">
        <v>78</v>
      </c>
      <c r="H28" s="103" cm="1">
        <f t="array" ref="H28">IFERROR(SUM(COUNTIFS(INDEX('Vendor Master Enrich'!$A:$ZZ,,MATCH("TB "&amp;$G28,'Vendor Master Enrich'!$A$1:$ZZ$1,0)),{"Y"},INDEX('Vendor Master Enrich'!$A:$ZZ,,MATCH($G28,'Vendor Master Enrich'!$A$1:$ZZ$1,0)),{""})),0)</f>
        <v>0</v>
      </c>
      <c r="I28" s="104" cm="1">
        <f t="array" ref="I28">IFERROR(SUM(COUNTIFS(INDEX('Vendor Master Enrich'!$A:$ZZ,,MATCH("TB "&amp;$G28,'Vendor Master Enrich'!$A$1:$ZZ$1,0)),{"Y"},INDEX('Vendor Master Enrich'!$A:$ZZ,,MATCH($G28,'Vendor Master Enrich'!$A$1:$ZZ$1,0)),{"Y"})),0)</f>
        <v>0</v>
      </c>
      <c r="J28" s="105" cm="1">
        <f t="array" ref="J28">IFERROR(SUM(COUNTIFS(INDEX('Vendor Master Enrich'!$A:$ZZ,,MATCH("TB "&amp;$G28,'Vendor Master Enrich'!$A$1:$ZZ$1,0)),{""},INDEX('Vendor Master Enrich'!$A:$ZZ,,MATCH($G28,'Vendor Master Enrich'!$A$1:$ZZ$1,0)),{"Y"})),0)</f>
        <v>0</v>
      </c>
      <c r="L28" s="96" cm="1">
        <f t="array" ref="L28">COUNTIFS('Vendor Master Enrich'!K:K,{"Y"})-I28-J28</f>
        <v>0</v>
      </c>
    </row>
    <row r="29" spans="1:12" x14ac:dyDescent="0.2">
      <c r="A29" s="89" t="s">
        <v>31</v>
      </c>
      <c r="B29" s="11" t="s">
        <v>152</v>
      </c>
      <c r="C29" s="90">
        <f>SUM(COUNTIFS(INDEX('Certificate List'!$A:$ZX,,MATCH("Certification",'Certificate List'!$A$2:$ZX$2,0)),$A29,INDEX('Certificate List'!$A:$ZX,,MATCH("TB Qualified",'Certificate List'!$A$2:$ZX$2,0)),"Yes"))</f>
        <v>0</v>
      </c>
      <c r="D29" s="90">
        <f>SUM(COUNTIFS(INDEX('Certificate List'!$A:$ZX,,MATCH("Certification",'Certificate List'!$A$2:$ZX$2,0)),$A29,INDEX('Certificate List'!$A:$ZX,,MATCH("TB Qualified",'Certificate List'!$A$2:$ZX$2,0)),"Potential"))</f>
        <v>0</v>
      </c>
      <c r="E29" s="97">
        <f t="shared" si="0"/>
        <v>0</v>
      </c>
      <c r="G29" s="11" t="s">
        <v>80</v>
      </c>
      <c r="H29" s="99" cm="1">
        <f t="array" ref="H29">IFERROR(SUM(COUNTIFS(INDEX('Vendor Master Enrich'!$A:$ZZ,,MATCH("TB "&amp;$G29,'Vendor Master Enrich'!$A$1:$ZZ$1,0)),{"Y"},INDEX('Vendor Master Enrich'!$A:$ZZ,,MATCH($G29,'Vendor Master Enrich'!$A$1:$ZZ$1,0)),{""})),0)</f>
        <v>0</v>
      </c>
      <c r="I29" s="100" cm="1">
        <f t="array" ref="I29">IFERROR(SUM(COUNTIFS(INDEX('Vendor Master Enrich'!$A:$ZZ,,MATCH("TB "&amp;$G29,'Vendor Master Enrich'!$A$1:$ZZ$1,0)),{"Y"},INDEX('Vendor Master Enrich'!$A:$ZZ,,MATCH($G29,'Vendor Master Enrich'!$A$1:$ZZ$1,0)),{"Y"})),0)</f>
        <v>0</v>
      </c>
      <c r="J29" s="101" cm="1">
        <f t="array" ref="J29">IFERROR(SUM(COUNTIFS(INDEX('Vendor Master Enrich'!$A:$ZZ,,MATCH("TB "&amp;$G29,'Vendor Master Enrich'!$A$1:$ZZ$1,0)),{""},INDEX('Vendor Master Enrich'!$A:$ZZ,,MATCH($G29,'Vendor Master Enrich'!$A$1:$ZZ$1,0)),{"Y"})),0)</f>
        <v>0</v>
      </c>
      <c r="L29" s="96" cm="1">
        <f t="array" ref="L29">COUNTIFS('Vendor Master Enrich'!L:L,{"Y"})-I29-J29</f>
        <v>0</v>
      </c>
    </row>
    <row r="30" spans="1:12" x14ac:dyDescent="0.2">
      <c r="A30" s="89" t="s">
        <v>41</v>
      </c>
      <c r="B30" s="11" t="s">
        <v>153</v>
      </c>
      <c r="C30" s="90">
        <f>SUM(COUNTIFS(INDEX('Certificate List'!$A:$ZX,,MATCH("Certification",'Certificate List'!$A$2:$ZX$2,0)),$A30,INDEX('Certificate List'!$A:$ZX,,MATCH("TB Qualified",'Certificate List'!$A$2:$ZX$2,0)),"Yes"))</f>
        <v>0</v>
      </c>
      <c r="D30" s="90">
        <f>SUM(COUNTIFS(INDEX('Certificate List'!$A:$ZX,,MATCH("Certification",'Certificate List'!$A$2:$ZX$2,0)),$A30,INDEX('Certificate List'!$A:$ZX,,MATCH("TB Qualified",'Certificate List'!$A$2:$ZX$2,0)),"Potential"))</f>
        <v>0</v>
      </c>
      <c r="E30" s="97">
        <f t="shared" si="0"/>
        <v>0</v>
      </c>
      <c r="G30" s="11" t="s">
        <v>82</v>
      </c>
      <c r="H30" s="99" cm="1">
        <f t="array" ref="H30">IFERROR(SUM(COUNTIFS(INDEX('Vendor Master Enrich'!$A:$ZZ,,MATCH("TB "&amp;$G30,'Vendor Master Enrich'!$A$1:$ZZ$1,0)),{"Y"},INDEX('Vendor Master Enrich'!$A:$ZZ,,MATCH($G30,'Vendor Master Enrich'!$A$1:$ZZ$1,0)),{""})),0)</f>
        <v>0</v>
      </c>
      <c r="I30" s="100" cm="1">
        <f t="array" ref="I30">IFERROR(SUM(COUNTIFS(INDEX('Vendor Master Enrich'!$A:$ZZ,,MATCH("TB "&amp;$G30,'Vendor Master Enrich'!$A$1:$ZZ$1,0)),{"Y"},INDEX('Vendor Master Enrich'!$A:$ZZ,,MATCH($G30,'Vendor Master Enrich'!$A$1:$ZZ$1,0)),{"Y"})),0)</f>
        <v>0</v>
      </c>
      <c r="J30" s="101" cm="1">
        <f t="array" ref="J30">IFERROR(SUM(COUNTIFS(INDEX('Vendor Master Enrich'!$A:$ZZ,,MATCH("TB "&amp;$G30,'Vendor Master Enrich'!$A$1:$ZZ$1,0)),{""},INDEX('Vendor Master Enrich'!$A:$ZZ,,MATCH($G30,'Vendor Master Enrich'!$A$1:$ZZ$1,0)),{"Y"})),0)</f>
        <v>0</v>
      </c>
      <c r="L30" s="96" cm="1">
        <f t="array" ref="L30">COUNTIFS('Vendor Master Enrich'!M:M,{"Y"})-I30-J30</f>
        <v>0</v>
      </c>
    </row>
    <row r="31" spans="1:12" x14ac:dyDescent="0.2">
      <c r="A31" s="89" t="s">
        <v>47</v>
      </c>
      <c r="B31" s="11" t="s">
        <v>154</v>
      </c>
      <c r="C31" s="90">
        <f>SUM(COUNTIFS(INDEX('Certificate List'!$A:$ZX,,MATCH("Certification",'Certificate List'!$A$2:$ZX$2,0)),$A31,INDEX('Certificate List'!$A:$ZX,,MATCH("TB Qualified",'Certificate List'!$A$2:$ZX$2,0)),"Yes"))</f>
        <v>0</v>
      </c>
      <c r="D31" s="90">
        <f>SUM(COUNTIFS(INDEX('Certificate List'!$A:$ZX,,MATCH("Certification",'Certificate List'!$A$2:$ZX$2,0)),$A31,INDEX('Certificate List'!$A:$ZX,,MATCH("TB Qualified",'Certificate List'!$A$2:$ZX$2,0)),"Potential"))</f>
        <v>0</v>
      </c>
      <c r="E31" s="97">
        <f t="shared" si="0"/>
        <v>0</v>
      </c>
      <c r="G31" s="11" t="s">
        <v>84</v>
      </c>
      <c r="H31" s="99" cm="1">
        <f t="array" ref="H31">IFERROR(SUM(COUNTIFS(INDEX('Vendor Master Enrich'!$A:$ZZ,,MATCH("TB "&amp;$G31,'Vendor Master Enrich'!$A$1:$ZZ$1,0)),{"Y"},INDEX('Vendor Master Enrich'!$A:$ZZ,,MATCH($G31,'Vendor Master Enrich'!$A$1:$ZZ$1,0)),{""})),0)</f>
        <v>0</v>
      </c>
      <c r="I31" s="100" cm="1">
        <f t="array" ref="I31">IFERROR(SUM(COUNTIFS(INDEX('Vendor Master Enrich'!$A:$ZZ,,MATCH("TB "&amp;$G31,'Vendor Master Enrich'!$A$1:$ZZ$1,0)),{"Y"},INDEX('Vendor Master Enrich'!$A:$ZZ,,MATCH($G31,'Vendor Master Enrich'!$A$1:$ZZ$1,0)),{"Y"})),0)</f>
        <v>0</v>
      </c>
      <c r="J31" s="101" cm="1">
        <f t="array" ref="J31">IFERROR(SUM(COUNTIFS(INDEX('Vendor Master Enrich'!$A:$ZZ,,MATCH("TB "&amp;$G31,'Vendor Master Enrich'!$A$1:$ZZ$1,0)),{""},INDEX('Vendor Master Enrich'!$A:$ZZ,,MATCH($G31,'Vendor Master Enrich'!$A$1:$ZZ$1,0)),{"Y"})),0)</f>
        <v>0</v>
      </c>
      <c r="L31" s="96" cm="1">
        <f t="array" ref="L31">COUNTIFS('Vendor Master Enrich'!N:N,{"Y"})-I31-J31</f>
        <v>0</v>
      </c>
    </row>
    <row r="32" spans="1:12" x14ac:dyDescent="0.2">
      <c r="A32" s="89" t="s">
        <v>155</v>
      </c>
      <c r="B32" s="11" t="s">
        <v>156</v>
      </c>
      <c r="C32" s="90">
        <f>SUM(COUNTIFS(INDEX('Certificate List'!$A:$ZX,,MATCH("Certification",'Certificate List'!$A$2:$ZX$2,0)),$A32,INDEX('Certificate List'!$A:$ZX,,MATCH("TB Qualified",'Certificate List'!$A$2:$ZX$2,0)),"Yes"))</f>
        <v>0</v>
      </c>
      <c r="D32" s="90">
        <f>SUM(COUNTIFS(INDEX('Certificate List'!$A:$ZX,,MATCH("Certification",'Certificate List'!$A$2:$ZX$2,0)),$A32,INDEX('Certificate List'!$A:$ZX,,MATCH("TB Qualified",'Certificate List'!$A$2:$ZX$2,0)),"Potential"))</f>
        <v>0</v>
      </c>
      <c r="E32" s="97">
        <f t="shared" si="0"/>
        <v>0</v>
      </c>
      <c r="F32" s="106"/>
      <c r="G32" s="22" t="s">
        <v>86</v>
      </c>
      <c r="H32" s="107" cm="1">
        <f t="array" ref="H32">IFERROR(SUM(COUNTIFS(INDEX('Vendor Master Enrich'!$A:$ZZ,,MATCH("TB "&amp;$G32,'Vendor Master Enrich'!$A$1:$ZZ$1,0)),{"Y"},INDEX('Vendor Master Enrich'!$A:$ZZ,,MATCH($G32,'Vendor Master Enrich'!$A$1:$ZZ$1,0)),{""})),0)</f>
        <v>0</v>
      </c>
      <c r="I32" s="108" cm="1">
        <f t="array" ref="I32">IFERROR(SUM(COUNTIFS(INDEX('Vendor Master Enrich'!$A:$ZZ,,MATCH("TB "&amp;$G32,'Vendor Master Enrich'!$A$1:$ZZ$1,0)),{"Y"},INDEX('Vendor Master Enrich'!$A:$ZZ,,MATCH($G32,'Vendor Master Enrich'!$A$1:$ZZ$1,0)),{"Y"})),0)</f>
        <v>0</v>
      </c>
      <c r="J32" s="109" cm="1">
        <f t="array" ref="J32">IFERROR(SUM(COUNTIFS(INDEX('Vendor Master Enrich'!$A:$ZZ,,MATCH("TB "&amp;$G32,'Vendor Master Enrich'!$A$1:$ZZ$1,0)),{""},INDEX('Vendor Master Enrich'!$A:$ZZ,,MATCH($G32,'Vendor Master Enrich'!$A$1:$ZZ$1,0)),{"Y"})),0)</f>
        <v>0</v>
      </c>
      <c r="L32" s="96" cm="1">
        <f t="array" ref="L32">COUNTIFS('Vendor Master Enrich'!O:O,{"Y"})-I32-J32</f>
        <v>0</v>
      </c>
    </row>
    <row r="33" spans="1:6" x14ac:dyDescent="0.2">
      <c r="A33" s="89" t="s">
        <v>157</v>
      </c>
      <c r="B33" s="11" t="s">
        <v>158</v>
      </c>
      <c r="C33" s="90">
        <f>SUM(COUNTIFS(INDEX('Certificate List'!$A:$ZX,,MATCH("Certification",'Certificate List'!$A$2:$ZX$2,0)),$A33,INDEX('Certificate List'!$A:$ZX,,MATCH("TB Qualified",'Certificate List'!$A$2:$ZX$2,0)),"Yes"))</f>
        <v>0</v>
      </c>
      <c r="D33" s="90">
        <f>SUM(COUNTIFS(INDEX('Certificate List'!$A:$ZX,,MATCH("Certification",'Certificate List'!$A$2:$ZX$2,0)),$A33,INDEX('Certificate List'!$A:$ZX,,MATCH("TB Qualified",'Certificate List'!$A$2:$ZX$2,0)),"Potential"))</f>
        <v>0</v>
      </c>
      <c r="E33" s="97">
        <f t="shared" si="0"/>
        <v>0</v>
      </c>
      <c r="F33" s="106"/>
    </row>
    <row r="34" spans="1:6" x14ac:dyDescent="0.2">
      <c r="A34" s="89" t="s">
        <v>52</v>
      </c>
      <c r="B34" s="22" t="s">
        <v>159</v>
      </c>
      <c r="C34" s="110">
        <f>SUM(COUNTIFS(INDEX('Certificate List'!$A:$ZX,,MATCH("Certification",'Certificate List'!$A$2:$ZX$2,0)),$A34,INDEX('Certificate List'!$A:$ZX,,MATCH("TB Qualified",'Certificate List'!$A$2:$ZX$2,0)),"Yes"))</f>
        <v>0</v>
      </c>
      <c r="D34" s="110">
        <f>SUM(COUNTIFS(INDEX('Certificate List'!$A:$ZX,,MATCH("Certification",'Certificate List'!$A$2:$ZX$2,0)),$A34,INDEX('Certificate List'!$A:$ZX,,MATCH("TB Qualified",'Certificate List'!$A$2:$ZX$2,0)),"Potential"))</f>
        <v>0</v>
      </c>
      <c r="E34" s="111">
        <f t="shared" si="0"/>
        <v>0</v>
      </c>
      <c r="F34" s="106"/>
    </row>
    <row r="35" spans="1:6" x14ac:dyDescent="0.2">
      <c r="C35" s="90"/>
      <c r="D35" s="90"/>
      <c r="E35" s="90"/>
    </row>
    <row r="36" spans="1:6" x14ac:dyDescent="0.2">
      <c r="B36" s="112" t="s">
        <v>61</v>
      </c>
      <c r="C36" s="113" t="s">
        <v>106</v>
      </c>
      <c r="D36" s="113" t="s">
        <v>101</v>
      </c>
      <c r="E36" s="114" t="s">
        <v>138</v>
      </c>
    </row>
    <row r="37" spans="1:6" x14ac:dyDescent="0.2">
      <c r="B37" s="92" t="s">
        <v>143</v>
      </c>
      <c r="C37" s="115" t="e">
        <f>COUNTIFS(INDEX('Vendor Master Enrich'!$A:$ZZ,,MATCH("Qualified",'Vendor Master Enrich'!$A$1:$ZZ$1,0)),"Yes")</f>
        <v>#N/A</v>
      </c>
      <c r="D37" s="115" t="e">
        <f>COUNTIFS(INDEX('Vendor Master Enrich'!$A:$ZZ,,MATCH("Qualified",'Vendor Master Enrich'!$A$1:$ZZ$1,0)),"No")</f>
        <v>#N/A</v>
      </c>
      <c r="E37" s="116" t="e">
        <f>SUM(C37:D37)</f>
        <v>#N/A</v>
      </c>
    </row>
    <row r="38" spans="1:6" x14ac:dyDescent="0.2">
      <c r="B38" s="11" t="s">
        <v>64</v>
      </c>
      <c r="C38" s="90" t="e">
        <f>COUNTIFS(INDEX('Vendor Master Enrich'!$A:$ZZ,,MATCH("TB "&amp;$B38,'Vendor Master Enrich'!$A$1:$ZZ$1,0)),"Y",INDEX('Vendor Master Enrich'!$A:$ZZ,,MATCH("Qualified",'Vendor Master Enrich'!$A$1:$ZZ$1,0)),"Yes")</f>
        <v>#N/A</v>
      </c>
      <c r="D38" s="90" t="e">
        <f>COUNTIFS(INDEX('Vendor Master Enrich'!$A:$ZZ,,MATCH("TB "&amp;$B38,'Vendor Master Enrich'!$A$1:$ZZ$1,0)),"Y",INDEX('Vendor Master Enrich'!$A:$ZZ,,MATCH("Qualified",'Vendor Master Enrich'!$A$1:$ZZ$1,0)),"No")</f>
        <v>#N/A</v>
      </c>
      <c r="E38" s="117" t="e">
        <f t="shared" ref="E38:E49" si="1">SUM(C38:D38)</f>
        <v>#N/A</v>
      </c>
    </row>
    <row r="39" spans="1:6" x14ac:dyDescent="0.2">
      <c r="B39" s="11" t="s">
        <v>66</v>
      </c>
      <c r="C39" s="90" t="e">
        <f>COUNTIFS(INDEX('Vendor Master Enrich'!$A:$ZZ,,MATCH("TB "&amp;$B39,'Vendor Master Enrich'!$A$1:$ZZ$1,0)),"Y",INDEX('Vendor Master Enrich'!$A:$ZZ,,MATCH("Qualified",'Vendor Master Enrich'!$A$1:$ZZ$1,0)),"Yes")</f>
        <v>#N/A</v>
      </c>
      <c r="D39" s="90" t="e">
        <f>COUNTIFS(INDEX('Vendor Master Enrich'!$A:$ZZ,,MATCH("TB "&amp;$B39,'Vendor Master Enrich'!$A$1:$ZZ$1,0)),"Y",INDEX('Vendor Master Enrich'!$A:$ZZ,,MATCH("Qualified",'Vendor Master Enrich'!$A$1:$ZZ$1,0)),"No")</f>
        <v>#N/A</v>
      </c>
      <c r="E39" s="117" t="e">
        <f t="shared" si="1"/>
        <v>#N/A</v>
      </c>
    </row>
    <row r="40" spans="1:6" x14ac:dyDescent="0.2">
      <c r="B40" s="11" t="s">
        <v>68</v>
      </c>
      <c r="C40" s="90" t="e">
        <f>COUNTIFS(INDEX('Vendor Master Enrich'!$A:$ZZ,,MATCH("TB "&amp;$B40,'Vendor Master Enrich'!$A$1:$ZZ$1,0)),"Y",INDEX('Vendor Master Enrich'!$A:$ZZ,,MATCH("Qualified",'Vendor Master Enrich'!$A$1:$ZZ$1,0)),"Yes")</f>
        <v>#N/A</v>
      </c>
      <c r="D40" s="90" t="e">
        <f>COUNTIFS(INDEX('Vendor Master Enrich'!$A:$ZZ,,MATCH("TB "&amp;$B40,'Vendor Master Enrich'!$A$1:$ZZ$1,0)),"Y",INDEX('Vendor Master Enrich'!$A:$ZZ,,MATCH("Qualified",'Vendor Master Enrich'!$A$1:$ZZ$1,0)),"No")</f>
        <v>#N/A</v>
      </c>
      <c r="E40" s="117" t="e">
        <f t="shared" si="1"/>
        <v>#N/A</v>
      </c>
    </row>
    <row r="41" spans="1:6" x14ac:dyDescent="0.2">
      <c r="B41" s="11" t="s">
        <v>70</v>
      </c>
      <c r="C41" s="90" t="e">
        <f>COUNTIFS(INDEX('Vendor Master Enrich'!$A:$ZZ,,MATCH("TB "&amp;$B41,'Vendor Master Enrich'!$A$1:$ZZ$1,0)),"Y",INDEX('Vendor Master Enrich'!$A:$ZZ,,MATCH("Qualified",'Vendor Master Enrich'!$A$1:$ZZ$1,0)),"Yes")</f>
        <v>#N/A</v>
      </c>
      <c r="D41" s="90" t="e">
        <f>COUNTIFS(INDEX('Vendor Master Enrich'!$A:$ZZ,,MATCH("TB "&amp;$B41,'Vendor Master Enrich'!$A$1:$ZZ$1,0)),"Y",INDEX('Vendor Master Enrich'!$A:$ZZ,,MATCH("Qualified",'Vendor Master Enrich'!$A$1:$ZZ$1,0)),"No")</f>
        <v>#N/A</v>
      </c>
      <c r="E41" s="117" t="e">
        <f t="shared" si="1"/>
        <v>#N/A</v>
      </c>
    </row>
    <row r="42" spans="1:6" ht="17" customHeight="1" x14ac:dyDescent="0.2">
      <c r="B42" s="11" t="s">
        <v>72</v>
      </c>
      <c r="C42" s="90" t="e">
        <f>COUNTIFS(INDEX('Vendor Master Enrich'!$A:$ZZ,,MATCH("TB "&amp;$B42,'Vendor Master Enrich'!$A$1:$ZZ$1,0)),"Y",INDEX('Vendor Master Enrich'!$A:$ZZ,,MATCH("Qualified",'Vendor Master Enrich'!$A$1:$ZZ$1,0)),"Yes")</f>
        <v>#N/A</v>
      </c>
      <c r="D42" s="90" t="e">
        <f>COUNTIFS(INDEX('Vendor Master Enrich'!$A:$ZZ,,MATCH("TB "&amp;$B42,'Vendor Master Enrich'!$A$1:$ZZ$1,0)),"Y",INDEX('Vendor Master Enrich'!$A:$ZZ,,MATCH("Qualified",'Vendor Master Enrich'!$A$1:$ZZ$1,0)),"No")</f>
        <v>#N/A</v>
      </c>
      <c r="E42" s="117" t="e">
        <f t="shared" si="1"/>
        <v>#N/A</v>
      </c>
    </row>
    <row r="43" spans="1:6" x14ac:dyDescent="0.2">
      <c r="B43" s="11" t="s">
        <v>74</v>
      </c>
      <c r="C43" s="90" t="e">
        <f>COUNTIFS(INDEX('Vendor Master Enrich'!$A:$ZZ,,MATCH("TB "&amp;$B43,'Vendor Master Enrich'!$A$1:$ZZ$1,0)),"Y",INDEX('Vendor Master Enrich'!$A:$ZZ,,MATCH("Qualified",'Vendor Master Enrich'!$A$1:$ZZ$1,0)),"Yes")</f>
        <v>#N/A</v>
      </c>
      <c r="D43" s="90" t="e">
        <f>COUNTIFS(INDEX('Vendor Master Enrich'!$A:$ZZ,,MATCH("TB "&amp;$B43,'Vendor Master Enrich'!$A$1:$ZZ$1,0)),"Y",INDEX('Vendor Master Enrich'!$A:$ZZ,,MATCH("Qualified",'Vendor Master Enrich'!$A$1:$ZZ$1,0)),"No")</f>
        <v>#N/A</v>
      </c>
      <c r="E43" s="117" t="e">
        <f t="shared" si="1"/>
        <v>#N/A</v>
      </c>
    </row>
    <row r="44" spans="1:6" x14ac:dyDescent="0.2">
      <c r="B44" s="118" t="s">
        <v>76</v>
      </c>
      <c r="C44" s="119" t="e">
        <f>COUNTIFS(INDEX('Vendor Master Enrich'!$A:$ZZ,,MATCH("TB "&amp;$B44,'Vendor Master Enrich'!$A$1:$ZZ$1,0)),"Y",INDEX('Vendor Master Enrich'!$A:$ZZ,,MATCH("Qualified",'Vendor Master Enrich'!$A$1:$ZZ$1,0)),"Yes")</f>
        <v>#N/A</v>
      </c>
      <c r="D44" s="119" t="e">
        <f>COUNTIFS(INDEX('Vendor Master Enrich'!$A:$ZZ,,MATCH("TB "&amp;$B44,'Vendor Master Enrich'!$A$1:$ZZ$1,0)),"Y",INDEX('Vendor Master Enrich'!$A:$ZZ,,MATCH("Qualified",'Vendor Master Enrich'!$A$1:$ZZ$1,0)),"No")</f>
        <v>#N/A</v>
      </c>
      <c r="E44" s="120" t="e">
        <f t="shared" si="1"/>
        <v>#N/A</v>
      </c>
    </row>
    <row r="45" spans="1:6" x14ac:dyDescent="0.2">
      <c r="B45" s="11" t="s">
        <v>78</v>
      </c>
      <c r="C45" s="90" t="e">
        <f>COUNTIFS(INDEX('Vendor Master Enrich'!$A:$ZZ,,MATCH("TB "&amp;$B45,'Vendor Master Enrich'!$A$1:$ZZ$1,0)),"Y",INDEX('Vendor Master Enrich'!$A:$ZZ,,MATCH("Qualified",'Vendor Master Enrich'!$A$1:$ZZ$1,0)),"Yes")</f>
        <v>#N/A</v>
      </c>
      <c r="D45" s="90" t="e">
        <f>COUNTIFS(INDEX('Vendor Master Enrich'!$A:$ZZ,,MATCH("TB "&amp;$B45,'Vendor Master Enrich'!$A$1:$ZZ$1,0)),"Y",INDEX('Vendor Master Enrich'!$A:$ZZ,,MATCH("Qualified",'Vendor Master Enrich'!$A$1:$ZZ$1,0)),"No")</f>
        <v>#N/A</v>
      </c>
      <c r="E45" s="117" t="e">
        <f t="shared" si="1"/>
        <v>#N/A</v>
      </c>
    </row>
    <row r="46" spans="1:6" x14ac:dyDescent="0.2">
      <c r="B46" s="11" t="s">
        <v>80</v>
      </c>
      <c r="C46" s="90" t="e">
        <f>COUNTIFS(INDEX('Vendor Master Enrich'!$A:$ZZ,,MATCH("TB "&amp;$B46,'Vendor Master Enrich'!$A$1:$ZZ$1,0)),"Y",INDEX('Vendor Master Enrich'!$A:$ZZ,,MATCH("Qualified",'Vendor Master Enrich'!$A$1:$ZZ$1,0)),"Yes")</f>
        <v>#N/A</v>
      </c>
      <c r="D46" s="90" t="e">
        <f>COUNTIFS(INDEX('Vendor Master Enrich'!$A:$ZZ,,MATCH("TB "&amp;$B46,'Vendor Master Enrich'!$A$1:$ZZ$1,0)),"Y",INDEX('Vendor Master Enrich'!$A:$ZZ,,MATCH("Qualified",'Vendor Master Enrich'!$A$1:$ZZ$1,0)),"No")</f>
        <v>#N/A</v>
      </c>
      <c r="E46" s="117" t="e">
        <f t="shared" si="1"/>
        <v>#N/A</v>
      </c>
    </row>
    <row r="47" spans="1:6" x14ac:dyDescent="0.2">
      <c r="B47" s="11" t="s">
        <v>82</v>
      </c>
      <c r="C47" s="90" t="e">
        <f>COUNTIFS(INDEX('Vendor Master Enrich'!$A:$ZZ,,MATCH("TB "&amp;$B47,'Vendor Master Enrich'!$A$1:$ZZ$1,0)),"Y",INDEX('Vendor Master Enrich'!$A:$ZZ,,MATCH("Qualified",'Vendor Master Enrich'!$A$1:$ZZ$1,0)),"Yes")</f>
        <v>#N/A</v>
      </c>
      <c r="D47" s="90" t="e">
        <f>COUNTIFS(INDEX('Vendor Master Enrich'!$A:$ZZ,,MATCH("TB "&amp;$B47,'Vendor Master Enrich'!$A$1:$ZZ$1,0)),"Y",INDEX('Vendor Master Enrich'!$A:$ZZ,,MATCH("Qualified",'Vendor Master Enrich'!$A$1:$ZZ$1,0)),"No")</f>
        <v>#N/A</v>
      </c>
      <c r="E47" s="117" t="e">
        <f t="shared" si="1"/>
        <v>#N/A</v>
      </c>
    </row>
    <row r="48" spans="1:6" x14ac:dyDescent="0.2">
      <c r="B48" s="11" t="s">
        <v>84</v>
      </c>
      <c r="C48" s="90" t="e">
        <f>COUNTIFS(INDEX('Vendor Master Enrich'!$A:$ZZ,,MATCH("TB "&amp;$B48,'Vendor Master Enrich'!$A$1:$ZZ$1,0)),"Y",INDEX('Vendor Master Enrich'!$A:$ZZ,,MATCH("Qualified",'Vendor Master Enrich'!$A$1:$ZZ$1,0)),"Yes")</f>
        <v>#N/A</v>
      </c>
      <c r="D48" s="90" t="e">
        <f>COUNTIFS(INDEX('Vendor Master Enrich'!$A:$ZZ,,MATCH("TB "&amp;$B48,'Vendor Master Enrich'!$A$1:$ZZ$1,0)),"Y",INDEX('Vendor Master Enrich'!$A:$ZZ,,MATCH("Qualified",'Vendor Master Enrich'!$A$1:$ZZ$1,0)),"No")</f>
        <v>#N/A</v>
      </c>
      <c r="E48" s="117" t="e">
        <f t="shared" si="1"/>
        <v>#N/A</v>
      </c>
    </row>
    <row r="49" spans="2:5" ht="19" customHeight="1" x14ac:dyDescent="0.2">
      <c r="B49" s="118" t="s">
        <v>86</v>
      </c>
      <c r="C49" s="119" t="e">
        <f>COUNTIFS(INDEX('Vendor Master Enrich'!$A:$ZZ,,MATCH("TB "&amp;$B49,'Vendor Master Enrich'!$A$1:$ZZ$1,0)),"Y",INDEX('Vendor Master Enrich'!$A:$ZZ,,MATCH("Qualified",'Vendor Master Enrich'!$A$1:$ZZ$1,0)),"Yes")</f>
        <v>#N/A</v>
      </c>
      <c r="D49" s="119" t="e">
        <f>COUNTIFS(INDEX('Vendor Master Enrich'!$A:$ZZ,,MATCH("TB "&amp;$B49,'Vendor Master Enrich'!$A$1:$ZZ$1,0)),"Y",INDEX('Vendor Master Enrich'!$A:$ZZ,,MATCH("Qualified",'Vendor Master Enrich'!$A$1:$ZZ$1,0)),"No")</f>
        <v>#N/A</v>
      </c>
      <c r="E49" s="120" t="e">
        <f t="shared" si="1"/>
        <v>#N/A</v>
      </c>
    </row>
    <row r="50" spans="2:5" x14ac:dyDescent="0.2">
      <c r="D50" s="121" t="s">
        <v>60</v>
      </c>
      <c r="E50" s="122" t="e">
        <f>SUM(E20:E34)-D15</f>
        <v>#VALUE!</v>
      </c>
    </row>
  </sheetData>
  <mergeCells count="4">
    <mergeCell ref="B2:E2"/>
    <mergeCell ref="B7:E7"/>
    <mergeCell ref="B18:E18"/>
    <mergeCell ref="G18:J1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SPEND SUMMARY</vt:lpstr>
      <vt:lpstr>Certificate List</vt:lpstr>
      <vt:lpstr>Vendor Master Enrich</vt:lpstr>
      <vt:lpstr>Insight-1</vt:lpstr>
      <vt:lpstr>Aggregate</vt:lpstr>
      <vt:lpstr>Insight-2</vt:lpstr>
      <vt:lpstr>Sum of Moving Average</vt:lpstr>
      <vt:lpstr>VM SUMMARY</vt:lpstr>
      <vt:lpstr>'SPEND 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2022-06-16T02:39:59Z</dcterms:created>
  <dcterms:modified xsi:type="dcterms:W3CDTF">2023-06-26T18:56:28Z</dcterms:modified>
</cp:coreProperties>
</file>